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第５表 " sheetId="1" r:id="rId1"/>
    <sheet name="第５表 (2)" sheetId="2" r:id="rId2"/>
    <sheet name="第５表 (3)" sheetId="3" r:id="rId3"/>
  </sheets>
  <definedNames>
    <definedName name="_xlnm.Print_Area" localSheetId="0">'第５表 '!$A$1:$AA$38</definedName>
    <definedName name="_xlnm.Print_Area" localSheetId="1">'第５表 (2)'!$A$1:$AA$39</definedName>
    <definedName name="_xlnm.Print_Area" localSheetId="2">'第５表 (3)'!$A$1:$AA$38</definedName>
  </definedNames>
  <calcPr fullCalcOnLoad="1"/>
</workbook>
</file>

<file path=xl/sharedStrings.xml><?xml version="1.0" encoding="utf-8"?>
<sst xmlns="http://schemas.openxmlformats.org/spreadsheetml/2006/main" count="352" uniqueCount="136">
  <si>
    <t xml:space="preserve">第５表　福井市、全国の１世帯当たり平均１か月間の収入と支出および構成比、対前年増加率 </t>
  </si>
  <si>
    <t>（二人以上の世帯のうち勤労者世帯、二人以上の世帯）</t>
  </si>
  <si>
    <t xml:space="preserve"> </t>
  </si>
  <si>
    <t xml:space="preserve"> （単位：円）</t>
  </si>
  <si>
    <t>区                 分</t>
  </si>
  <si>
    <t>二人以上の世帯のうち勤労者世帯</t>
  </si>
  <si>
    <t>二人以上の世帯</t>
  </si>
  <si>
    <t>福井市</t>
  </si>
  <si>
    <t>　　　　　　全　　　　　国　　　　　　　　</t>
  </si>
  <si>
    <t>全国</t>
  </si>
  <si>
    <t>実 数（円）</t>
  </si>
  <si>
    <t>２０年</t>
  </si>
  <si>
    <t>（％）</t>
  </si>
  <si>
    <t>集計世帯数（世帯）</t>
  </si>
  <si>
    <t>世帯主の年齢（歳）</t>
  </si>
  <si>
    <t>実        収        入</t>
  </si>
  <si>
    <t>経     常     収     入</t>
  </si>
  <si>
    <t>勤 め 先 収 入</t>
  </si>
  <si>
    <t>世 帯 主 収 入</t>
  </si>
  <si>
    <t>配偶者の収入</t>
  </si>
  <si>
    <t>他の世帯員収入</t>
  </si>
  <si>
    <t>事業・内職収入</t>
  </si>
  <si>
    <t>農林漁業収入</t>
  </si>
  <si>
    <t>他の経常収入</t>
  </si>
  <si>
    <t>特     別     収     入</t>
  </si>
  <si>
    <t>繰        入        金</t>
  </si>
  <si>
    <t>実        支        出</t>
  </si>
  <si>
    <t>消     費     支     出</t>
  </si>
  <si>
    <t>食          料</t>
  </si>
  <si>
    <t>野  菜・海  藻</t>
  </si>
  <si>
    <t>果            物</t>
  </si>
  <si>
    <t>油  脂・調 味 料</t>
  </si>
  <si>
    <t>菓     子     類</t>
  </si>
  <si>
    <t>調  理  食  品</t>
  </si>
  <si>
    <t>住          居</t>
  </si>
  <si>
    <t>設備修繕・維持</t>
  </si>
  <si>
    <t>光熱 ・ 水道</t>
  </si>
  <si>
    <t>上 下 水 道 料</t>
  </si>
  <si>
    <t>家具・家事用品</t>
  </si>
  <si>
    <t>家庭用耐久財</t>
  </si>
  <si>
    <t>室内装備・装飾品</t>
  </si>
  <si>
    <t>家事用消耗品</t>
  </si>
  <si>
    <t>家事サービス</t>
  </si>
  <si>
    <t>被服及び履物</t>
  </si>
  <si>
    <t>和            服</t>
  </si>
  <si>
    <t>洋            服</t>
  </si>
  <si>
    <t>ｼｬﾂ･セーター類</t>
  </si>
  <si>
    <t>下    着     類</t>
  </si>
  <si>
    <t>生  地 ･ 糸  類</t>
  </si>
  <si>
    <t>他  の  被  服</t>
  </si>
  <si>
    <t>履     物     類</t>
  </si>
  <si>
    <t>被服関連サービス</t>
  </si>
  <si>
    <t>保 健 医 療</t>
  </si>
  <si>
    <t>医    薬     品</t>
  </si>
  <si>
    <t>健康保持用摂取品</t>
  </si>
  <si>
    <t>保健医療用品・器具</t>
  </si>
  <si>
    <t xml:space="preserve"> </t>
  </si>
  <si>
    <t>保健医療サービス</t>
  </si>
  <si>
    <t>交通 ・ 通信</t>
  </si>
  <si>
    <t>交            通</t>
  </si>
  <si>
    <t xml:space="preserve"> </t>
  </si>
  <si>
    <t>自動車等関係費</t>
  </si>
  <si>
    <t>通            信</t>
  </si>
  <si>
    <t>教          育</t>
  </si>
  <si>
    <t>授業料等</t>
  </si>
  <si>
    <t xml:space="preserve"> </t>
  </si>
  <si>
    <t>教科書・学習参考教材</t>
  </si>
  <si>
    <t>補習教育</t>
  </si>
  <si>
    <t>教 養 娯 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</si>
  <si>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</si>
  <si>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</si>
  <si>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</si>
  <si>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</si>
  <si>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</si>
  <si>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     雑     費</t>
  </si>
  <si>
    <t>こづかい(使途不明)</t>
  </si>
  <si>
    <t>交     際     費</t>
  </si>
  <si>
    <t>仕  送  り  金</t>
  </si>
  <si>
    <t>非 消 費 支 出</t>
  </si>
  <si>
    <t>繰        越        金</t>
  </si>
  <si>
    <t>現      物      総      額</t>
  </si>
  <si>
    <t>可    処    分    所    得</t>
  </si>
  <si>
    <t>黒                      字</t>
  </si>
  <si>
    <t>貯    蓄    純    増</t>
  </si>
  <si>
    <t>平 均 消 費 性 向 （％）</t>
  </si>
  <si>
    <t>エ ン ゲ ル 係 数 （％）</t>
  </si>
  <si>
    <t>対前年増加率</t>
  </si>
  <si>
    <t>実 数（円）</t>
  </si>
  <si>
    <t>名　目</t>
  </si>
  <si>
    <t>実　質</t>
  </si>
  <si>
    <t>世帯人員    （人）</t>
  </si>
  <si>
    <t>有業人員    （人）</t>
  </si>
  <si>
    <t>-</t>
  </si>
  <si>
    <t>穀            類</t>
  </si>
  <si>
    <t>魚    介    類</t>
  </si>
  <si>
    <t>肉            類</t>
  </si>
  <si>
    <t>乳    卵    類</t>
  </si>
  <si>
    <t xml:space="preserve"> </t>
  </si>
  <si>
    <t>福井市</t>
  </si>
  <si>
    <t>　　　　　　全　　　　　国　　　　　　　　</t>
  </si>
  <si>
    <t>全国</t>
  </si>
  <si>
    <t>実 数（円）</t>
  </si>
  <si>
    <t>対前年増加率</t>
  </si>
  <si>
    <t>実 数（円）</t>
  </si>
  <si>
    <t>名　目</t>
  </si>
  <si>
    <t>実　質</t>
  </si>
  <si>
    <t>飲            料</t>
  </si>
  <si>
    <t>酒            類</t>
  </si>
  <si>
    <t>外            食</t>
  </si>
  <si>
    <t>家  賃  地  代</t>
  </si>
  <si>
    <t>電    気     代</t>
  </si>
  <si>
    <t>ガ     ス     代</t>
  </si>
  <si>
    <t>他  の  光  熱</t>
  </si>
  <si>
    <t>寝     具     類</t>
  </si>
  <si>
    <t>家  事  雑  貨</t>
  </si>
  <si>
    <t>対前年増加率</t>
  </si>
  <si>
    <t>実 数（円）</t>
  </si>
  <si>
    <t>名　目</t>
  </si>
  <si>
    <t>実　質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</si>
  <si>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</si>
  <si>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</si>
  <si>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</si>
  <si>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</si>
  <si>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</si>
  <si>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</si>
  <si>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</si>
  <si>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</si>
  <si>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</si>
  <si>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受      　       　       取</t>
  </si>
  <si>
    <t>実収入以外の受取</t>
  </si>
  <si>
    <t>支      　      　      払</t>
  </si>
  <si>
    <t>実支出以外の支払</t>
  </si>
  <si>
    <t>-</t>
  </si>
  <si>
    <t>※交際費の増加率の実質化には、消費者物価指数（持家の帰属家賃を除く総合）を用いた。　　</t>
  </si>
  <si>
    <t>２１年</t>
  </si>
  <si>
    <t>２１年の
構成比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</si>
</sst>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#,##0_ "/>
    <numFmt numFmtId="180" formatCode="#,##0_);[Red]\(#,##0\)"/>
    <numFmt numFmtId="181" formatCode="#,##0.0_);[Red]\(#,##0.0\)"/>
    <numFmt numFmtId="182" formatCode="#,##0.0_ "/>
    <numFmt numFmtId="183" formatCode="0_ "/>
    <numFmt numFmtId="184" formatCode="#,##0.00_ "/>
    <numFmt numFmtId="185" formatCode="0.0_);[Red]\(0.0\)"/>
    <numFmt numFmtId="186" formatCode="0_);[Red]\(0\)"/>
    <numFmt numFmtId="187" formatCode="#,##0.00_);[Red]\(#,##0.00\)"/>
    <numFmt numFmtId="188" formatCode="#,##0.0"/>
    <numFmt numFmtId="189" formatCode="#,##0.0;[Red]\-#,##0.0"/>
    <numFmt numFmtId="190" formatCode="#,###,###,##0;&quot; -&quot;###,###,##0"/>
    <numFmt numFmtId="191" formatCode="#,##0_ ;[Red]\-#,##0\ "/>
    <numFmt numFmtId="192" formatCode="#,##0.0_ ;[Red]\-#,##0.0\ "/>
    <numFmt numFmtId="193" formatCode="#,##0.00_ ;[Red]\-#,##0.00\ "/>
    <numFmt numFmtId="194" formatCode="\G/&quot;標&quot;&quot;準&quot;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5.5"/>
      <name val="ＭＳ 明朝"/>
      <family val="1"/>
    </font>
    <font>
      <sz val="15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color indexed="12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2"/>
      <color indexed="1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thin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38" fontId="5" fillId="0" borderId="0" xfId="17" applyFont="1" applyBorder="1" applyAlignment="1">
      <alignment/>
    </xf>
    <xf numFmtId="38" fontId="6" fillId="0" borderId="0" xfId="17" applyFont="1" applyBorder="1" applyAlignment="1">
      <alignment/>
    </xf>
    <xf numFmtId="38" fontId="7" fillId="0" borderId="0" xfId="17" applyFont="1" applyAlignment="1">
      <alignment/>
    </xf>
    <xf numFmtId="38" fontId="7" fillId="0" borderId="0" xfId="17" applyFont="1" applyAlignment="1">
      <alignment horizontal="center"/>
    </xf>
    <xf numFmtId="38" fontId="7" fillId="0" borderId="0" xfId="17" applyFont="1" applyBorder="1" applyAlignment="1">
      <alignment horizontal="center"/>
    </xf>
    <xf numFmtId="38" fontId="7" fillId="0" borderId="0" xfId="17" applyFont="1" applyFill="1" applyBorder="1" applyAlignment="1">
      <alignment horizontal="center"/>
    </xf>
    <xf numFmtId="38" fontId="7" fillId="0" borderId="0" xfId="17" applyFont="1" applyFill="1" applyAlignment="1">
      <alignment horizontal="center"/>
    </xf>
    <xf numFmtId="189" fontId="7" fillId="0" borderId="0" xfId="17" applyNumberFormat="1" applyFont="1" applyFill="1" applyAlignment="1">
      <alignment horizontal="center"/>
    </xf>
    <xf numFmtId="38" fontId="7" fillId="0" borderId="0" xfId="17" applyFont="1" applyBorder="1" applyAlignment="1">
      <alignment/>
    </xf>
    <xf numFmtId="38" fontId="7" fillId="0" borderId="0" xfId="17" applyFont="1" applyBorder="1" applyAlignment="1">
      <alignment/>
    </xf>
    <xf numFmtId="38" fontId="7" fillId="0" borderId="0" xfId="17" applyFont="1" applyFill="1" applyBorder="1" applyAlignment="1">
      <alignment/>
    </xf>
    <xf numFmtId="189" fontId="7" fillId="0" borderId="0" xfId="17" applyNumberFormat="1" applyFont="1" applyFill="1" applyBorder="1" applyAlignment="1">
      <alignment/>
    </xf>
    <xf numFmtId="38" fontId="7" fillId="0" borderId="0" xfId="17" applyFont="1" applyBorder="1" applyAlignment="1">
      <alignment horizontal="right"/>
    </xf>
    <xf numFmtId="38" fontId="7" fillId="0" borderId="1" xfId="17" applyFont="1" applyFill="1" applyBorder="1" applyAlignment="1">
      <alignment/>
    </xf>
    <xf numFmtId="0" fontId="0" fillId="0" borderId="2" xfId="0" applyBorder="1" applyAlignment="1">
      <alignment/>
    </xf>
    <xf numFmtId="38" fontId="7" fillId="0" borderId="2" xfId="17" applyFont="1" applyFill="1" applyBorder="1" applyAlignment="1">
      <alignment/>
    </xf>
    <xf numFmtId="38" fontId="7" fillId="0" borderId="3" xfId="17" applyFont="1" applyFill="1" applyBorder="1" applyAlignment="1">
      <alignment/>
    </xf>
    <xf numFmtId="38" fontId="7" fillId="0" borderId="4" xfId="17" applyFont="1" applyBorder="1" applyAlignment="1">
      <alignment horizontal="center"/>
    </xf>
    <xf numFmtId="38" fontId="7" fillId="0" borderId="5" xfId="17" applyFont="1" applyBorder="1" applyAlignment="1">
      <alignment horizontal="center"/>
    </xf>
    <xf numFmtId="38" fontId="7" fillId="0" borderId="6" xfId="17" applyFont="1" applyBorder="1" applyAlignment="1">
      <alignment horizontal="center"/>
    </xf>
    <xf numFmtId="38" fontId="7" fillId="0" borderId="7" xfId="17" applyFont="1" applyFill="1" applyBorder="1" applyAlignment="1">
      <alignment horizontal="center"/>
    </xf>
    <xf numFmtId="38" fontId="7" fillId="0" borderId="8" xfId="17" applyFont="1" applyFill="1" applyBorder="1" applyAlignment="1">
      <alignment horizontal="center"/>
    </xf>
    <xf numFmtId="38" fontId="7" fillId="0" borderId="9" xfId="17" applyFont="1" applyFill="1" applyBorder="1" applyAlignment="1">
      <alignment horizontal="center"/>
    </xf>
    <xf numFmtId="38" fontId="7" fillId="0" borderId="10" xfId="17" applyFont="1" applyFill="1" applyBorder="1" applyAlignment="1">
      <alignment horizontal="center"/>
    </xf>
    <xf numFmtId="38" fontId="7" fillId="0" borderId="0" xfId="17" applyFont="1" applyFill="1" applyAlignment="1">
      <alignment/>
    </xf>
    <xf numFmtId="180" fontId="7" fillId="0" borderId="11" xfId="17" applyNumberFormat="1" applyFont="1" applyFill="1" applyBorder="1" applyAlignment="1">
      <alignment/>
    </xf>
    <xf numFmtId="180" fontId="7" fillId="0" borderId="12" xfId="21" applyNumberFormat="1" applyFont="1" applyFill="1" applyBorder="1">
      <alignment/>
      <protection/>
    </xf>
    <xf numFmtId="180" fontId="7" fillId="0" borderId="13" xfId="17" applyNumberFormat="1" applyFont="1" applyFill="1" applyBorder="1" applyAlignment="1">
      <alignment/>
    </xf>
    <xf numFmtId="180" fontId="7" fillId="0" borderId="14" xfId="17" applyNumberFormat="1" applyFont="1" applyFill="1" applyBorder="1" applyAlignment="1">
      <alignment/>
    </xf>
    <xf numFmtId="180" fontId="7" fillId="0" borderId="1" xfId="21" applyNumberFormat="1" applyFont="1" applyFill="1" applyBorder="1">
      <alignment/>
      <protection/>
    </xf>
    <xf numFmtId="180" fontId="7" fillId="0" borderId="15" xfId="17" applyNumberFormat="1" applyFont="1" applyFill="1" applyBorder="1" applyAlignment="1">
      <alignment/>
    </xf>
    <xf numFmtId="180" fontId="7" fillId="0" borderId="16" xfId="17" applyNumberFormat="1" applyFont="1" applyFill="1" applyBorder="1" applyAlignment="1">
      <alignment/>
    </xf>
    <xf numFmtId="180" fontId="7" fillId="0" borderId="11" xfId="17" applyNumberFormat="1" applyFont="1" applyFill="1" applyBorder="1" applyAlignment="1">
      <alignment horizontal="right"/>
    </xf>
    <xf numFmtId="180" fontId="7" fillId="0" borderId="0" xfId="21" applyNumberFormat="1" applyFont="1" applyFill="1" applyBorder="1">
      <alignment/>
      <protection/>
    </xf>
    <xf numFmtId="180" fontId="7" fillId="0" borderId="17" xfId="17" applyNumberFormat="1" applyFont="1" applyFill="1" applyBorder="1" applyAlignment="1">
      <alignment/>
    </xf>
    <xf numFmtId="38" fontId="7" fillId="0" borderId="18" xfId="17" applyFont="1" applyFill="1" applyBorder="1" applyAlignment="1">
      <alignment/>
    </xf>
    <xf numFmtId="177" fontId="7" fillId="0" borderId="19" xfId="17" applyNumberFormat="1" applyFont="1" applyFill="1" applyBorder="1" applyAlignment="1">
      <alignment/>
    </xf>
    <xf numFmtId="177" fontId="7" fillId="0" borderId="20" xfId="21" applyNumberFormat="1" applyFont="1" applyFill="1" applyBorder="1">
      <alignment/>
      <protection/>
    </xf>
    <xf numFmtId="177" fontId="7" fillId="0" borderId="20" xfId="17" applyNumberFormat="1" applyFont="1" applyFill="1" applyBorder="1" applyAlignment="1">
      <alignment/>
    </xf>
    <xf numFmtId="177" fontId="7" fillId="0" borderId="21" xfId="17" applyNumberFormat="1" applyFont="1" applyFill="1" applyBorder="1" applyAlignment="1">
      <alignment/>
    </xf>
    <xf numFmtId="177" fontId="7" fillId="0" borderId="19" xfId="21" applyNumberFormat="1" applyFont="1" applyFill="1" applyBorder="1">
      <alignment/>
      <protection/>
    </xf>
    <xf numFmtId="187" fontId="7" fillId="0" borderId="0" xfId="21" applyNumberFormat="1" applyFont="1" applyFill="1" applyBorder="1">
      <alignment/>
      <protection/>
    </xf>
    <xf numFmtId="177" fontId="7" fillId="0" borderId="22" xfId="17" applyNumberFormat="1" applyFont="1" applyFill="1" applyBorder="1" applyAlignment="1">
      <alignment/>
    </xf>
    <xf numFmtId="177" fontId="7" fillId="0" borderId="23" xfId="17" applyNumberFormat="1" applyFont="1" applyFill="1" applyBorder="1" applyAlignment="1">
      <alignment/>
    </xf>
    <xf numFmtId="187" fontId="7" fillId="0" borderId="20" xfId="21" applyNumberFormat="1" applyFont="1" applyFill="1" applyBorder="1">
      <alignment/>
      <protection/>
    </xf>
    <xf numFmtId="177" fontId="7" fillId="0" borderId="24" xfId="17" applyNumberFormat="1" applyFont="1" applyFill="1" applyBorder="1" applyAlignment="1">
      <alignment/>
    </xf>
    <xf numFmtId="177" fontId="7" fillId="0" borderId="0" xfId="17" applyNumberFormat="1" applyFont="1" applyFill="1" applyAlignment="1">
      <alignment/>
    </xf>
    <xf numFmtId="38" fontId="7" fillId="0" borderId="25" xfId="17" applyFont="1" applyFill="1" applyBorder="1" applyAlignment="1">
      <alignment/>
    </xf>
    <xf numFmtId="185" fontId="7" fillId="0" borderId="26" xfId="17" applyNumberFormat="1" applyFont="1" applyFill="1" applyBorder="1" applyAlignment="1">
      <alignment/>
    </xf>
    <xf numFmtId="185" fontId="7" fillId="0" borderId="27" xfId="21" applyNumberFormat="1" applyFont="1" applyFill="1" applyBorder="1">
      <alignment/>
      <protection/>
    </xf>
    <xf numFmtId="185" fontId="7" fillId="0" borderId="28" xfId="17" applyNumberFormat="1" applyFont="1" applyFill="1" applyBorder="1" applyAlignment="1">
      <alignment/>
    </xf>
    <xf numFmtId="185" fontId="7" fillId="0" borderId="29" xfId="17" applyNumberFormat="1" applyFont="1" applyFill="1" applyBorder="1" applyAlignment="1">
      <alignment/>
    </xf>
    <xf numFmtId="185" fontId="7" fillId="0" borderId="30" xfId="21" applyNumberFormat="1" applyFont="1" applyFill="1" applyBorder="1">
      <alignment/>
      <protection/>
    </xf>
    <xf numFmtId="181" fontId="7" fillId="0" borderId="0" xfId="21" applyNumberFormat="1" applyFont="1" applyFill="1" applyBorder="1">
      <alignment/>
      <protection/>
    </xf>
    <xf numFmtId="185" fontId="7" fillId="0" borderId="31" xfId="17" applyNumberFormat="1" applyFont="1" applyFill="1" applyBorder="1" applyAlignment="1">
      <alignment/>
    </xf>
    <xf numFmtId="185" fontId="7" fillId="0" borderId="32" xfId="17" applyNumberFormat="1" applyFont="1" applyFill="1" applyBorder="1" applyAlignment="1">
      <alignment/>
    </xf>
    <xf numFmtId="181" fontId="7" fillId="0" borderId="28" xfId="17" applyNumberFormat="1" applyFont="1" applyFill="1" applyBorder="1" applyAlignment="1">
      <alignment/>
    </xf>
    <xf numFmtId="180" fontId="7" fillId="0" borderId="28" xfId="17" applyNumberFormat="1" applyFont="1" applyFill="1" applyBorder="1" applyAlignment="1">
      <alignment/>
    </xf>
    <xf numFmtId="180" fontId="7" fillId="0" borderId="29" xfId="17" applyNumberFormat="1" applyFont="1" applyFill="1" applyBorder="1" applyAlignment="1">
      <alignment/>
    </xf>
    <xf numFmtId="185" fontId="7" fillId="0" borderId="26" xfId="21" applyNumberFormat="1" applyFont="1" applyFill="1" applyBorder="1">
      <alignment/>
      <protection/>
    </xf>
    <xf numFmtId="181" fontId="7" fillId="0" borderId="27" xfId="21" applyNumberFormat="1" applyFont="1" applyFill="1" applyBorder="1">
      <alignment/>
      <protection/>
    </xf>
    <xf numFmtId="185" fontId="7" fillId="0" borderId="6" xfId="17" applyNumberFormat="1" applyFont="1" applyFill="1" applyBorder="1" applyAlignment="1">
      <alignment/>
    </xf>
    <xf numFmtId="38" fontId="7" fillId="0" borderId="33" xfId="17" applyFont="1" applyFill="1" applyBorder="1" applyAlignment="1">
      <alignment horizontal="left"/>
    </xf>
    <xf numFmtId="38" fontId="7" fillId="0" borderId="2" xfId="17" applyFont="1" applyFill="1" applyBorder="1" applyAlignment="1">
      <alignment horizontal="center"/>
    </xf>
    <xf numFmtId="180" fontId="7" fillId="0" borderId="34" xfId="17" applyNumberFormat="1" applyFont="1" applyFill="1" applyBorder="1" applyAlignment="1">
      <alignment/>
    </xf>
    <xf numFmtId="180" fontId="7" fillId="0" borderId="13" xfId="21" applyNumberFormat="1" applyFont="1" applyFill="1" applyBorder="1">
      <alignment/>
      <protection/>
    </xf>
    <xf numFmtId="181" fontId="7" fillId="0" borderId="12" xfId="17" applyNumberFormat="1" applyFont="1" applyFill="1" applyBorder="1" applyAlignment="1">
      <alignment horizontal="right"/>
    </xf>
    <xf numFmtId="182" fontId="10" fillId="0" borderId="35" xfId="17" applyNumberFormat="1" applyFont="1" applyFill="1" applyBorder="1" applyAlignment="1">
      <alignment/>
    </xf>
    <xf numFmtId="180" fontId="7" fillId="0" borderId="12" xfId="17" applyNumberFormat="1" applyFont="1" applyFill="1" applyBorder="1" applyAlignment="1">
      <alignment horizontal="right"/>
    </xf>
    <xf numFmtId="180" fontId="7" fillId="0" borderId="11" xfId="21" applyNumberFormat="1" applyFont="1" applyFill="1" applyBorder="1">
      <alignment/>
      <protection/>
    </xf>
    <xf numFmtId="181" fontId="7" fillId="0" borderId="36" xfId="17" applyNumberFormat="1" applyFont="1" applyFill="1" applyBorder="1" applyAlignment="1">
      <alignment horizontal="right"/>
    </xf>
    <xf numFmtId="182" fontId="10" fillId="0" borderId="12" xfId="17" applyNumberFormat="1" applyFont="1" applyFill="1" applyBorder="1" applyAlignment="1">
      <alignment/>
    </xf>
    <xf numFmtId="180" fontId="7" fillId="0" borderId="37" xfId="17" applyNumberFormat="1" applyFont="1" applyFill="1" applyBorder="1" applyAlignment="1">
      <alignment/>
    </xf>
    <xf numFmtId="180" fontId="7" fillId="0" borderId="12" xfId="17" applyNumberFormat="1" applyFont="1" applyFill="1" applyBorder="1" applyAlignment="1">
      <alignment/>
    </xf>
    <xf numFmtId="180" fontId="7" fillId="0" borderId="35" xfId="17" applyNumberFormat="1" applyFont="1" applyFill="1" applyBorder="1" applyAlignment="1">
      <alignment/>
    </xf>
    <xf numFmtId="182" fontId="7" fillId="0" borderId="12" xfId="17" applyNumberFormat="1" applyFont="1" applyFill="1" applyBorder="1" applyAlignment="1">
      <alignment/>
    </xf>
    <xf numFmtId="180" fontId="7" fillId="0" borderId="17" xfId="17" applyNumberFormat="1" applyFont="1" applyFill="1" applyBorder="1" applyAlignment="1">
      <alignment horizontal="right"/>
    </xf>
    <xf numFmtId="38" fontId="7" fillId="0" borderId="38" xfId="17" applyFont="1" applyFill="1" applyBorder="1" applyAlignment="1">
      <alignment horizontal="center"/>
    </xf>
    <xf numFmtId="38" fontId="7" fillId="0" borderId="0" xfId="17" applyFont="1" applyFill="1" applyBorder="1" applyAlignment="1">
      <alignment horizontal="left"/>
    </xf>
    <xf numFmtId="38" fontId="7" fillId="0" borderId="18" xfId="17" applyFont="1" applyFill="1" applyBorder="1" applyAlignment="1">
      <alignment horizontal="center"/>
    </xf>
    <xf numFmtId="180" fontId="7" fillId="0" borderId="19" xfId="17" applyNumberFormat="1" applyFont="1" applyFill="1" applyBorder="1" applyAlignment="1">
      <alignment/>
    </xf>
    <xf numFmtId="180" fontId="7" fillId="0" borderId="20" xfId="21" applyNumberFormat="1" applyFont="1" applyFill="1" applyBorder="1">
      <alignment/>
      <protection/>
    </xf>
    <xf numFmtId="181" fontId="7" fillId="0" borderId="20" xfId="17" applyNumberFormat="1" applyFont="1" applyFill="1" applyBorder="1" applyAlignment="1">
      <alignment/>
    </xf>
    <xf numFmtId="182" fontId="10" fillId="0" borderId="21" xfId="17" applyNumberFormat="1" applyFont="1" applyFill="1" applyBorder="1" applyAlignment="1">
      <alignment/>
    </xf>
    <xf numFmtId="180" fontId="7" fillId="0" borderId="19" xfId="21" applyNumberFormat="1" applyFont="1" applyFill="1" applyBorder="1">
      <alignment/>
      <protection/>
    </xf>
    <xf numFmtId="181" fontId="7" fillId="0" borderId="22" xfId="17" applyNumberFormat="1" applyFont="1" applyFill="1" applyBorder="1" applyAlignment="1">
      <alignment/>
    </xf>
    <xf numFmtId="182" fontId="10" fillId="0" borderId="20" xfId="17" applyNumberFormat="1" applyFont="1" applyFill="1" applyBorder="1" applyAlignment="1">
      <alignment/>
    </xf>
    <xf numFmtId="180" fontId="7" fillId="0" borderId="23" xfId="17" applyNumberFormat="1" applyFont="1" applyFill="1" applyBorder="1" applyAlignment="1">
      <alignment/>
    </xf>
    <xf numFmtId="180" fontId="7" fillId="0" borderId="20" xfId="17" applyNumberFormat="1" applyFont="1" applyFill="1" applyBorder="1" applyAlignment="1">
      <alignment/>
    </xf>
    <xf numFmtId="180" fontId="7" fillId="0" borderId="21" xfId="17" applyNumberFormat="1" applyFont="1" applyFill="1" applyBorder="1" applyAlignment="1">
      <alignment/>
    </xf>
    <xf numFmtId="182" fontId="7" fillId="0" borderId="20" xfId="17" applyNumberFormat="1" applyFont="1" applyFill="1" applyBorder="1" applyAlignment="1">
      <alignment/>
    </xf>
    <xf numFmtId="182" fontId="7" fillId="0" borderId="24" xfId="17" applyNumberFormat="1" applyFont="1" applyFill="1" applyBorder="1" applyAlignment="1">
      <alignment/>
    </xf>
    <xf numFmtId="38" fontId="7" fillId="0" borderId="31" xfId="17" applyFont="1" applyFill="1" applyBorder="1" applyAlignment="1">
      <alignment horizontal="left"/>
    </xf>
    <xf numFmtId="181" fontId="10" fillId="0" borderId="20" xfId="17" applyNumberFormat="1" applyFont="1" applyFill="1" applyBorder="1" applyAlignment="1">
      <alignment/>
    </xf>
    <xf numFmtId="38" fontId="7" fillId="0" borderId="5" xfId="17" applyFont="1" applyFill="1" applyBorder="1" applyAlignment="1">
      <alignment horizontal="center"/>
    </xf>
    <xf numFmtId="38" fontId="7" fillId="0" borderId="25" xfId="17" applyFont="1" applyFill="1" applyBorder="1" applyAlignment="1">
      <alignment horizontal="left"/>
    </xf>
    <xf numFmtId="38" fontId="7" fillId="0" borderId="31" xfId="17" applyFont="1" applyFill="1" applyBorder="1" applyAlignment="1">
      <alignment horizontal="center"/>
    </xf>
    <xf numFmtId="38" fontId="7" fillId="0" borderId="0" xfId="17" applyFont="1" applyFill="1" applyBorder="1" applyAlignment="1">
      <alignment horizontal="distributed"/>
    </xf>
    <xf numFmtId="180" fontId="7" fillId="0" borderId="26" xfId="17" applyNumberFormat="1" applyFont="1" applyFill="1" applyBorder="1" applyAlignment="1">
      <alignment/>
    </xf>
    <xf numFmtId="180" fontId="7" fillId="0" borderId="28" xfId="21" applyNumberFormat="1" applyFont="1" applyFill="1" applyBorder="1">
      <alignment/>
      <protection/>
    </xf>
    <xf numFmtId="181" fontId="10" fillId="0" borderId="28" xfId="17" applyNumberFormat="1" applyFont="1" applyFill="1" applyBorder="1" applyAlignment="1">
      <alignment/>
    </xf>
    <xf numFmtId="182" fontId="10" fillId="0" borderId="29" xfId="17" applyNumberFormat="1" applyFont="1" applyFill="1" applyBorder="1" applyAlignment="1">
      <alignment/>
    </xf>
    <xf numFmtId="180" fontId="7" fillId="0" borderId="26" xfId="21" applyNumberFormat="1" applyFont="1" applyFill="1" applyBorder="1">
      <alignment/>
      <protection/>
    </xf>
    <xf numFmtId="181" fontId="7" fillId="0" borderId="31" xfId="17" applyNumberFormat="1" applyFont="1" applyFill="1" applyBorder="1" applyAlignment="1">
      <alignment/>
    </xf>
    <xf numFmtId="182" fontId="10" fillId="0" borderId="28" xfId="17" applyNumberFormat="1" applyFont="1" applyFill="1" applyBorder="1" applyAlignment="1">
      <alignment/>
    </xf>
    <xf numFmtId="180" fontId="7" fillId="0" borderId="32" xfId="17" applyNumberFormat="1" applyFont="1" applyFill="1" applyBorder="1" applyAlignment="1">
      <alignment/>
    </xf>
    <xf numFmtId="182" fontId="7" fillId="0" borderId="28" xfId="17" applyNumberFormat="1" applyFont="1" applyFill="1" applyBorder="1" applyAlignment="1">
      <alignment/>
    </xf>
    <xf numFmtId="182" fontId="7" fillId="0" borderId="6" xfId="17" applyNumberFormat="1" applyFont="1" applyFill="1" applyBorder="1" applyAlignment="1">
      <alignment/>
    </xf>
    <xf numFmtId="180" fontId="7" fillId="0" borderId="39" xfId="17" applyNumberFormat="1" applyFont="1" applyFill="1" applyBorder="1" applyAlignment="1">
      <alignment/>
    </xf>
    <xf numFmtId="180" fontId="7" fillId="0" borderId="5" xfId="21" applyNumberFormat="1" applyFont="1" applyFill="1" applyBorder="1">
      <alignment/>
      <protection/>
    </xf>
    <xf numFmtId="181" fontId="10" fillId="0" borderId="5" xfId="17" applyNumberFormat="1" applyFont="1" applyFill="1" applyBorder="1" applyAlignment="1">
      <alignment/>
    </xf>
    <xf numFmtId="182" fontId="10" fillId="0" borderId="4" xfId="17" applyNumberFormat="1" applyFont="1" applyFill="1" applyBorder="1" applyAlignment="1">
      <alignment/>
    </xf>
    <xf numFmtId="180" fontId="7" fillId="0" borderId="39" xfId="21" applyNumberFormat="1" applyFont="1" applyFill="1" applyBorder="1">
      <alignment/>
      <protection/>
    </xf>
    <xf numFmtId="181" fontId="7" fillId="0" borderId="40" xfId="17" applyNumberFormat="1" applyFont="1" applyFill="1" applyBorder="1" applyAlignment="1">
      <alignment/>
    </xf>
    <xf numFmtId="182" fontId="10" fillId="0" borderId="5" xfId="17" applyNumberFormat="1" applyFont="1" applyFill="1" applyBorder="1" applyAlignment="1">
      <alignment/>
    </xf>
    <xf numFmtId="180" fontId="7" fillId="0" borderId="38" xfId="17" applyNumberFormat="1" applyFont="1" applyFill="1" applyBorder="1" applyAlignment="1">
      <alignment/>
    </xf>
    <xf numFmtId="180" fontId="7" fillId="0" borderId="5" xfId="17" applyNumberFormat="1" applyFont="1" applyFill="1" applyBorder="1" applyAlignment="1">
      <alignment/>
    </xf>
    <xf numFmtId="180" fontId="7" fillId="0" borderId="4" xfId="17" applyNumberFormat="1" applyFont="1" applyFill="1" applyBorder="1" applyAlignment="1">
      <alignment/>
    </xf>
    <xf numFmtId="182" fontId="7" fillId="0" borderId="5" xfId="17" applyNumberFormat="1" applyFont="1" applyFill="1" applyBorder="1" applyAlignment="1">
      <alignment/>
    </xf>
    <xf numFmtId="182" fontId="7" fillId="0" borderId="41" xfId="17" applyNumberFormat="1" applyFont="1" applyFill="1" applyBorder="1" applyAlignment="1">
      <alignment/>
    </xf>
    <xf numFmtId="38" fontId="7" fillId="0" borderId="13" xfId="17" applyFont="1" applyFill="1" applyBorder="1" applyAlignment="1">
      <alignment horizontal="center"/>
    </xf>
    <xf numFmtId="181" fontId="10" fillId="0" borderId="13" xfId="17" applyNumberFormat="1" applyFont="1" applyFill="1" applyBorder="1" applyAlignment="1">
      <alignment/>
    </xf>
    <xf numFmtId="182" fontId="10" fillId="0" borderId="14" xfId="17" applyNumberFormat="1" applyFont="1" applyFill="1" applyBorder="1" applyAlignment="1">
      <alignment/>
    </xf>
    <xf numFmtId="181" fontId="7" fillId="0" borderId="15" xfId="17" applyNumberFormat="1" applyFont="1" applyFill="1" applyBorder="1" applyAlignment="1">
      <alignment/>
    </xf>
    <xf numFmtId="182" fontId="10" fillId="0" borderId="13" xfId="17" applyNumberFormat="1" applyFont="1" applyFill="1" applyBorder="1" applyAlignment="1">
      <alignment/>
    </xf>
    <xf numFmtId="182" fontId="7" fillId="0" borderId="13" xfId="17" applyNumberFormat="1" applyFont="1" applyFill="1" applyBorder="1" applyAlignment="1">
      <alignment/>
    </xf>
    <xf numFmtId="182" fontId="7" fillId="0" borderId="42" xfId="17" applyNumberFormat="1" applyFont="1" applyFill="1" applyBorder="1" applyAlignment="1">
      <alignment/>
    </xf>
    <xf numFmtId="38" fontId="7" fillId="0" borderId="5" xfId="17" applyFont="1" applyFill="1" applyBorder="1" applyAlignment="1">
      <alignment horizontal="left"/>
    </xf>
    <xf numFmtId="38" fontId="7" fillId="0" borderId="22" xfId="17" applyFont="1" applyFill="1" applyBorder="1" applyAlignment="1">
      <alignment horizontal="left"/>
    </xf>
    <xf numFmtId="38" fontId="7" fillId="0" borderId="18" xfId="17" applyFont="1" applyFill="1" applyBorder="1" applyAlignment="1">
      <alignment horizontal="left"/>
    </xf>
    <xf numFmtId="38" fontId="7" fillId="0" borderId="20" xfId="17" applyFont="1" applyFill="1" applyBorder="1" applyAlignment="1">
      <alignment horizontal="left"/>
    </xf>
    <xf numFmtId="38" fontId="7" fillId="0" borderId="22" xfId="17" applyFont="1" applyFill="1" applyBorder="1" applyAlignment="1">
      <alignment horizontal="center"/>
    </xf>
    <xf numFmtId="38" fontId="7" fillId="0" borderId="21" xfId="17" applyFont="1" applyFill="1" applyBorder="1" applyAlignment="1">
      <alignment horizontal="center"/>
    </xf>
    <xf numFmtId="181" fontId="7" fillId="0" borderId="20" xfId="17" applyNumberFormat="1" applyFont="1" applyFill="1" applyBorder="1" applyAlignment="1">
      <alignment horizontal="right"/>
    </xf>
    <xf numFmtId="181" fontId="7" fillId="0" borderId="22" xfId="17" applyNumberFormat="1" applyFont="1" applyFill="1" applyBorder="1" applyAlignment="1">
      <alignment horizontal="right"/>
    </xf>
    <xf numFmtId="38" fontId="7" fillId="0" borderId="43" xfId="17" applyFont="1" applyFill="1" applyBorder="1" applyAlignment="1">
      <alignment horizontal="center"/>
    </xf>
    <xf numFmtId="38" fontId="7" fillId="0" borderId="9" xfId="17" applyFont="1" applyFill="1" applyBorder="1" applyAlignment="1">
      <alignment horizontal="left"/>
    </xf>
    <xf numFmtId="38" fontId="7" fillId="0" borderId="44" xfId="17" applyFont="1" applyFill="1" applyBorder="1" applyAlignment="1">
      <alignment horizontal="center"/>
    </xf>
    <xf numFmtId="38" fontId="7" fillId="0" borderId="45" xfId="17" applyFont="1" applyFill="1" applyBorder="1" applyAlignment="1">
      <alignment horizontal="center"/>
    </xf>
    <xf numFmtId="180" fontId="7" fillId="0" borderId="30" xfId="17" applyNumberFormat="1" applyFont="1" applyFill="1" applyBorder="1" applyAlignment="1">
      <alignment/>
    </xf>
    <xf numFmtId="180" fontId="7" fillId="0" borderId="27" xfId="21" applyNumberFormat="1" applyFont="1" applyFill="1" applyBorder="1" applyAlignment="1">
      <alignment/>
      <protection/>
    </xf>
    <xf numFmtId="181" fontId="7" fillId="0" borderId="27" xfId="17" applyNumberFormat="1" applyFont="1" applyFill="1" applyBorder="1" applyAlignment="1">
      <alignment horizontal="right"/>
    </xf>
    <xf numFmtId="182" fontId="10" fillId="0" borderId="46" xfId="17" applyNumberFormat="1" applyFont="1" applyFill="1" applyBorder="1" applyAlignment="1">
      <alignment/>
    </xf>
    <xf numFmtId="180" fontId="7" fillId="0" borderId="30" xfId="21" applyNumberFormat="1" applyFont="1" applyFill="1" applyBorder="1" applyAlignment="1">
      <alignment/>
      <protection/>
    </xf>
    <xf numFmtId="181" fontId="7" fillId="0" borderId="44" xfId="17" applyNumberFormat="1" applyFont="1" applyFill="1" applyBorder="1" applyAlignment="1">
      <alignment horizontal="right"/>
    </xf>
    <xf numFmtId="182" fontId="10" fillId="0" borderId="27" xfId="17" applyNumberFormat="1" applyFont="1" applyFill="1" applyBorder="1" applyAlignment="1">
      <alignment/>
    </xf>
    <xf numFmtId="180" fontId="7" fillId="0" borderId="47" xfId="17" applyNumberFormat="1" applyFont="1" applyFill="1" applyBorder="1" applyAlignment="1">
      <alignment/>
    </xf>
    <xf numFmtId="180" fontId="7" fillId="0" borderId="27" xfId="17" applyNumberFormat="1" applyFont="1" applyFill="1" applyBorder="1" applyAlignment="1">
      <alignment/>
    </xf>
    <xf numFmtId="180" fontId="7" fillId="0" borderId="46" xfId="17" applyNumberFormat="1" applyFont="1" applyFill="1" applyBorder="1" applyAlignment="1">
      <alignment/>
    </xf>
    <xf numFmtId="182" fontId="7" fillId="0" borderId="27" xfId="17" applyNumberFormat="1" applyFont="1" applyFill="1" applyBorder="1" applyAlignment="1">
      <alignment/>
    </xf>
    <xf numFmtId="182" fontId="7" fillId="0" borderId="48" xfId="17" applyNumberFormat="1" applyFont="1" applyFill="1" applyBorder="1" applyAlignment="1">
      <alignment/>
    </xf>
    <xf numFmtId="38" fontId="7" fillId="0" borderId="38" xfId="17" applyFont="1" applyFill="1" applyBorder="1" applyAlignment="1">
      <alignment horizontal="left"/>
    </xf>
    <xf numFmtId="38" fontId="7" fillId="0" borderId="15" xfId="17" applyFont="1" applyFill="1" applyBorder="1" applyAlignment="1">
      <alignment horizontal="center"/>
    </xf>
    <xf numFmtId="38" fontId="7" fillId="0" borderId="49" xfId="17" applyFont="1" applyFill="1" applyBorder="1" applyAlignment="1">
      <alignment horizontal="center"/>
    </xf>
    <xf numFmtId="181" fontId="7" fillId="0" borderId="13" xfId="17" applyNumberFormat="1" applyFont="1" applyFill="1" applyBorder="1" applyAlignment="1">
      <alignment horizontal="right"/>
    </xf>
    <xf numFmtId="181" fontId="7" fillId="0" borderId="15" xfId="17" applyNumberFormat="1" applyFont="1" applyFill="1" applyBorder="1" applyAlignment="1">
      <alignment horizontal="right"/>
    </xf>
    <xf numFmtId="182" fontId="7" fillId="0" borderId="14" xfId="17" applyNumberFormat="1" applyFont="1" applyFill="1" applyBorder="1" applyAlignment="1">
      <alignment/>
    </xf>
    <xf numFmtId="182" fontId="7" fillId="0" borderId="21" xfId="17" applyNumberFormat="1" applyFont="1" applyFill="1" applyBorder="1" applyAlignment="1">
      <alignment/>
    </xf>
    <xf numFmtId="38" fontId="7" fillId="0" borderId="38" xfId="17" applyFont="1" applyFill="1" applyBorder="1" applyAlignment="1">
      <alignment/>
    </xf>
    <xf numFmtId="38" fontId="7" fillId="0" borderId="5" xfId="17" applyFont="1" applyFill="1" applyBorder="1" applyAlignment="1">
      <alignment/>
    </xf>
    <xf numFmtId="38" fontId="7" fillId="0" borderId="22" xfId="17" applyFont="1" applyFill="1" applyBorder="1" applyAlignment="1">
      <alignment/>
    </xf>
    <xf numFmtId="38" fontId="7" fillId="0" borderId="18" xfId="17" applyFont="1" applyFill="1" applyBorder="1" applyAlignment="1">
      <alignment/>
    </xf>
    <xf numFmtId="191" fontId="7" fillId="0" borderId="21" xfId="17" applyNumberFormat="1" applyFont="1" applyFill="1" applyBorder="1" applyAlignment="1">
      <alignment/>
    </xf>
    <xf numFmtId="38" fontId="7" fillId="0" borderId="31" xfId="17" applyFont="1" applyFill="1" applyBorder="1" applyAlignment="1">
      <alignment/>
    </xf>
    <xf numFmtId="38" fontId="7" fillId="0" borderId="25" xfId="17" applyFont="1" applyFill="1" applyBorder="1" applyAlignment="1">
      <alignment/>
    </xf>
    <xf numFmtId="181" fontId="10" fillId="0" borderId="22" xfId="17" applyNumberFormat="1" applyFont="1" applyFill="1" applyBorder="1" applyAlignment="1">
      <alignment/>
    </xf>
    <xf numFmtId="38" fontId="7" fillId="0" borderId="40" xfId="17" applyFont="1" applyFill="1" applyBorder="1" applyAlignment="1">
      <alignment/>
    </xf>
    <xf numFmtId="38" fontId="7" fillId="0" borderId="25" xfId="17" applyFont="1" applyFill="1" applyBorder="1" applyAlignment="1">
      <alignment horizontal="center"/>
    </xf>
    <xf numFmtId="191" fontId="7" fillId="0" borderId="29" xfId="17" applyNumberFormat="1" applyFont="1" applyFill="1" applyBorder="1" applyAlignment="1">
      <alignment/>
    </xf>
    <xf numFmtId="181" fontId="10" fillId="0" borderId="31" xfId="17" applyNumberFormat="1" applyFont="1" applyFill="1" applyBorder="1" applyAlignment="1">
      <alignment/>
    </xf>
    <xf numFmtId="191" fontId="7" fillId="0" borderId="4" xfId="17" applyNumberFormat="1" applyFont="1" applyFill="1" applyBorder="1" applyAlignment="1">
      <alignment/>
    </xf>
    <xf numFmtId="181" fontId="10" fillId="0" borderId="40" xfId="17" applyNumberFormat="1" applyFont="1" applyFill="1" applyBorder="1" applyAlignment="1">
      <alignment/>
    </xf>
    <xf numFmtId="38" fontId="7" fillId="0" borderId="16" xfId="17" applyFont="1" applyFill="1" applyBorder="1" applyAlignment="1">
      <alignment/>
    </xf>
    <xf numFmtId="38" fontId="7" fillId="0" borderId="13" xfId="17" applyFont="1" applyFill="1" applyBorder="1" applyAlignment="1">
      <alignment/>
    </xf>
    <xf numFmtId="38" fontId="7" fillId="0" borderId="14" xfId="17" applyFont="1" applyFill="1" applyBorder="1" applyAlignment="1">
      <alignment/>
    </xf>
    <xf numFmtId="38" fontId="7" fillId="0" borderId="15" xfId="17" applyFont="1" applyFill="1" applyBorder="1" applyAlignment="1">
      <alignment/>
    </xf>
    <xf numFmtId="38" fontId="7" fillId="0" borderId="49" xfId="17" applyFont="1" applyFill="1" applyBorder="1" applyAlignment="1">
      <alignment horizontal="distributed"/>
    </xf>
    <xf numFmtId="38" fontId="7" fillId="0" borderId="50" xfId="17" applyFont="1" applyFill="1" applyBorder="1" applyAlignment="1">
      <alignment horizontal="center"/>
    </xf>
    <xf numFmtId="180" fontId="7" fillId="0" borderId="49" xfId="21" applyNumberFormat="1" applyFont="1" applyFill="1" applyBorder="1">
      <alignment/>
      <protection/>
    </xf>
    <xf numFmtId="191" fontId="7" fillId="0" borderId="14" xfId="17" applyNumberFormat="1" applyFont="1" applyFill="1" applyBorder="1" applyAlignment="1">
      <alignment/>
    </xf>
    <xf numFmtId="181" fontId="10" fillId="0" borderId="15" xfId="17" applyNumberFormat="1" applyFont="1" applyFill="1" applyBorder="1" applyAlignment="1">
      <alignment/>
    </xf>
    <xf numFmtId="38" fontId="7" fillId="0" borderId="0" xfId="17" applyFont="1" applyAlignment="1">
      <alignment/>
    </xf>
    <xf numFmtId="189" fontId="7" fillId="0" borderId="0" xfId="17" applyNumberFormat="1" applyFont="1" applyFill="1" applyAlignment="1">
      <alignment/>
    </xf>
    <xf numFmtId="38" fontId="7" fillId="0" borderId="25" xfId="17" applyFont="1" applyBorder="1" applyAlignment="1">
      <alignment/>
    </xf>
    <xf numFmtId="38" fontId="11" fillId="0" borderId="0" xfId="17" applyFont="1" applyAlignment="1">
      <alignment/>
    </xf>
    <xf numFmtId="38" fontId="7" fillId="0" borderId="0" xfId="17" applyFont="1" applyFill="1" applyAlignment="1">
      <alignment/>
    </xf>
    <xf numFmtId="180" fontId="7" fillId="0" borderId="0" xfId="17" applyNumberFormat="1" applyFont="1" applyFill="1" applyAlignment="1">
      <alignment/>
    </xf>
    <xf numFmtId="180" fontId="7" fillId="0" borderId="0" xfId="17" applyNumberFormat="1" applyFont="1" applyFill="1" applyBorder="1" applyAlignment="1">
      <alignment/>
    </xf>
    <xf numFmtId="180" fontId="7" fillId="0" borderId="0" xfId="17" applyNumberFormat="1" applyFont="1" applyFill="1" applyAlignment="1">
      <alignment/>
    </xf>
    <xf numFmtId="0" fontId="7" fillId="0" borderId="0" xfId="21" applyFont="1" applyFill="1">
      <alignment/>
      <protection/>
    </xf>
    <xf numFmtId="38" fontId="9" fillId="0" borderId="0" xfId="17" applyFont="1" applyFill="1" applyAlignment="1">
      <alignment/>
    </xf>
    <xf numFmtId="38" fontId="7" fillId="0" borderId="7" xfId="17" applyFont="1" applyBorder="1" applyAlignment="1">
      <alignment horizontal="center"/>
    </xf>
    <xf numFmtId="38" fontId="7" fillId="0" borderId="8" xfId="17" applyFont="1" applyBorder="1" applyAlignment="1">
      <alignment horizontal="center"/>
    </xf>
    <xf numFmtId="38" fontId="7" fillId="0" borderId="9" xfId="17" applyFont="1" applyBorder="1" applyAlignment="1">
      <alignment horizontal="center"/>
    </xf>
    <xf numFmtId="38" fontId="7" fillId="0" borderId="10" xfId="17" applyFont="1" applyBorder="1" applyAlignment="1">
      <alignment horizontal="center"/>
    </xf>
    <xf numFmtId="38" fontId="7" fillId="0" borderId="0" xfId="17" applyFont="1" applyFill="1" applyBorder="1" applyAlignment="1">
      <alignment/>
    </xf>
    <xf numFmtId="179" fontId="7" fillId="0" borderId="13" xfId="21" applyNumberFormat="1" applyFont="1" applyFill="1" applyBorder="1">
      <alignment/>
      <protection/>
    </xf>
    <xf numFmtId="178" fontId="10" fillId="0" borderId="13" xfId="17" applyNumberFormat="1" applyFont="1" applyFill="1" applyBorder="1" applyAlignment="1">
      <alignment/>
    </xf>
    <xf numFmtId="179" fontId="7" fillId="0" borderId="20" xfId="21" applyNumberFormat="1" applyFont="1" applyFill="1" applyBorder="1">
      <alignment/>
      <protection/>
    </xf>
    <xf numFmtId="38" fontId="7" fillId="0" borderId="25" xfId="17" applyFont="1" applyFill="1" applyBorder="1" applyAlignment="1">
      <alignment horizontal="distributed"/>
    </xf>
    <xf numFmtId="179" fontId="7" fillId="0" borderId="0" xfId="21" applyNumberFormat="1" applyFont="1" applyFill="1" applyBorder="1">
      <alignment/>
      <protection/>
    </xf>
    <xf numFmtId="178" fontId="10" fillId="0" borderId="28" xfId="17" applyNumberFormat="1" applyFont="1" applyFill="1" applyBorder="1" applyAlignment="1">
      <alignment/>
    </xf>
    <xf numFmtId="179" fontId="7" fillId="0" borderId="14" xfId="21" applyNumberFormat="1" applyFont="1" applyFill="1" applyBorder="1">
      <alignment/>
      <protection/>
    </xf>
    <xf numFmtId="178" fontId="10" fillId="0" borderId="20" xfId="17" applyNumberFormat="1" applyFont="1" applyFill="1" applyBorder="1" applyAlignment="1">
      <alignment/>
    </xf>
    <xf numFmtId="180" fontId="7" fillId="0" borderId="14" xfId="21" applyNumberFormat="1" applyFont="1" applyFill="1" applyBorder="1">
      <alignment/>
      <protection/>
    </xf>
    <xf numFmtId="180" fontId="7" fillId="0" borderId="29" xfId="21" applyNumberFormat="1" applyFont="1" applyFill="1" applyBorder="1">
      <alignment/>
      <protection/>
    </xf>
    <xf numFmtId="178" fontId="10" fillId="0" borderId="5" xfId="17" applyNumberFormat="1" applyFont="1" applyFill="1" applyBorder="1" applyAlignment="1">
      <alignment/>
    </xf>
    <xf numFmtId="180" fontId="7" fillId="0" borderId="4" xfId="21" applyNumberFormat="1" applyFont="1" applyFill="1" applyBorder="1">
      <alignment/>
      <protection/>
    </xf>
    <xf numFmtId="180" fontId="7" fillId="0" borderId="21" xfId="21" applyNumberFormat="1" applyFont="1" applyFill="1" applyBorder="1">
      <alignment/>
      <protection/>
    </xf>
    <xf numFmtId="179" fontId="7" fillId="0" borderId="28" xfId="21" applyNumberFormat="1" applyFont="1" applyFill="1" applyBorder="1">
      <alignment/>
      <protection/>
    </xf>
    <xf numFmtId="179" fontId="7" fillId="0" borderId="40" xfId="21" applyNumberFormat="1" applyFont="1" applyFill="1" applyBorder="1">
      <alignment/>
      <protection/>
    </xf>
    <xf numFmtId="179" fontId="7" fillId="0" borderId="4" xfId="21" applyNumberFormat="1" applyFont="1" applyFill="1" applyBorder="1">
      <alignment/>
      <protection/>
    </xf>
    <xf numFmtId="180" fontId="7" fillId="0" borderId="13" xfId="21" applyNumberFormat="1" applyFont="1" applyFill="1" applyBorder="1" applyAlignment="1">
      <alignment/>
      <protection/>
    </xf>
    <xf numFmtId="180" fontId="7" fillId="0" borderId="11" xfId="21" applyNumberFormat="1" applyFont="1" applyFill="1" applyBorder="1" applyAlignment="1">
      <alignment/>
      <protection/>
    </xf>
    <xf numFmtId="179" fontId="7" fillId="0" borderId="0" xfId="21" applyNumberFormat="1" applyFont="1" applyFill="1" applyBorder="1" applyAlignment="1">
      <alignment/>
      <protection/>
    </xf>
    <xf numFmtId="38" fontId="7" fillId="0" borderId="49" xfId="17" applyFont="1" applyFill="1" applyBorder="1" applyAlignment="1">
      <alignment/>
    </xf>
    <xf numFmtId="179" fontId="7" fillId="0" borderId="49" xfId="21" applyNumberFormat="1" applyFont="1" applyFill="1" applyBorder="1">
      <alignment/>
      <protection/>
    </xf>
    <xf numFmtId="38" fontId="9" fillId="0" borderId="0" xfId="17" applyFont="1" applyFill="1" applyAlignment="1">
      <alignment/>
    </xf>
    <xf numFmtId="38" fontId="12" fillId="0" borderId="0" xfId="17" applyFont="1" applyFill="1" applyAlignment="1">
      <alignment/>
    </xf>
    <xf numFmtId="189" fontId="9" fillId="0" borderId="0" xfId="17" applyNumberFormat="1" applyFont="1" applyFill="1" applyAlignment="1">
      <alignment/>
    </xf>
    <xf numFmtId="38" fontId="9" fillId="0" borderId="25" xfId="17" applyFont="1" applyFill="1" applyBorder="1" applyAlignment="1">
      <alignment/>
    </xf>
    <xf numFmtId="180" fontId="12" fillId="0" borderId="0" xfId="17" applyNumberFormat="1" applyFont="1" applyFill="1" applyAlignment="1">
      <alignment/>
    </xf>
    <xf numFmtId="180" fontId="9" fillId="0" borderId="0" xfId="17" applyNumberFormat="1" applyFont="1" applyFill="1" applyAlignment="1">
      <alignment/>
    </xf>
    <xf numFmtId="180" fontId="9" fillId="0" borderId="0" xfId="17" applyNumberFormat="1" applyFont="1" applyFill="1" applyAlignment="1">
      <alignment/>
    </xf>
    <xf numFmtId="180" fontId="9" fillId="0" borderId="0" xfId="21" applyNumberFormat="1" applyFont="1" applyFill="1">
      <alignment/>
      <protection/>
    </xf>
    <xf numFmtId="3" fontId="9" fillId="0" borderId="0" xfId="21" applyNumberFormat="1" applyFont="1" applyFill="1">
      <alignment/>
      <protection/>
    </xf>
    <xf numFmtId="38" fontId="13" fillId="0" borderId="0" xfId="17" applyFont="1" applyFill="1" applyAlignment="1">
      <alignment/>
    </xf>
    <xf numFmtId="0" fontId="13" fillId="0" borderId="0" xfId="21" applyFont="1" applyFill="1">
      <alignment/>
      <protection/>
    </xf>
    <xf numFmtId="38" fontId="9" fillId="0" borderId="0" xfId="17" applyFont="1" applyFill="1" applyBorder="1" applyAlignment="1">
      <alignment horizontal="distributed" shrinkToFit="1"/>
    </xf>
    <xf numFmtId="178" fontId="10" fillId="0" borderId="21" xfId="17" applyNumberFormat="1" applyFont="1" applyFill="1" applyBorder="1" applyAlignment="1">
      <alignment/>
    </xf>
    <xf numFmtId="179" fontId="7" fillId="0" borderId="5" xfId="21" applyNumberFormat="1" applyFont="1" applyFill="1" applyBorder="1">
      <alignment/>
      <protection/>
    </xf>
    <xf numFmtId="178" fontId="10" fillId="0" borderId="14" xfId="17" applyNumberFormat="1" applyFont="1" applyFill="1" applyBorder="1" applyAlignment="1">
      <alignment/>
    </xf>
    <xf numFmtId="178" fontId="10" fillId="0" borderId="29" xfId="17" applyNumberFormat="1" applyFont="1" applyFill="1" applyBorder="1" applyAlignment="1">
      <alignment/>
    </xf>
    <xf numFmtId="178" fontId="10" fillId="0" borderId="4" xfId="17" applyNumberFormat="1" applyFont="1" applyFill="1" applyBorder="1" applyAlignment="1">
      <alignment/>
    </xf>
    <xf numFmtId="179" fontId="7" fillId="0" borderId="14" xfId="21" applyNumberFormat="1" applyFont="1" applyFill="1" applyBorder="1" applyAlignment="1">
      <alignment/>
      <protection/>
    </xf>
    <xf numFmtId="185" fontId="10" fillId="0" borderId="13" xfId="17" applyNumberFormat="1" applyFont="1" applyFill="1" applyBorder="1" applyAlignment="1">
      <alignment/>
    </xf>
    <xf numFmtId="185" fontId="10" fillId="0" borderId="15" xfId="17" applyNumberFormat="1" applyFont="1" applyFill="1" applyBorder="1" applyAlignment="1">
      <alignment/>
    </xf>
    <xf numFmtId="185" fontId="10" fillId="0" borderId="28" xfId="17" applyNumberFormat="1" applyFont="1" applyFill="1" applyBorder="1" applyAlignment="1">
      <alignment/>
    </xf>
    <xf numFmtId="185" fontId="10" fillId="0" borderId="31" xfId="17" applyNumberFormat="1" applyFont="1" applyFill="1" applyBorder="1" applyAlignment="1">
      <alignment/>
    </xf>
    <xf numFmtId="38" fontId="9" fillId="0" borderId="0" xfId="17" applyFont="1" applyFill="1" applyBorder="1" applyAlignment="1">
      <alignment horizontal="distributed"/>
    </xf>
    <xf numFmtId="185" fontId="10" fillId="0" borderId="5" xfId="17" applyNumberFormat="1" applyFont="1" applyFill="1" applyBorder="1" applyAlignment="1">
      <alignment/>
    </xf>
    <xf numFmtId="185" fontId="10" fillId="0" borderId="40" xfId="17" applyNumberFormat="1" applyFont="1" applyFill="1" applyBorder="1" applyAlignment="1">
      <alignment/>
    </xf>
    <xf numFmtId="185" fontId="10" fillId="0" borderId="20" xfId="17" applyNumberFormat="1" applyFont="1" applyFill="1" applyBorder="1" applyAlignment="1">
      <alignment/>
    </xf>
    <xf numFmtId="185" fontId="10" fillId="0" borderId="22" xfId="17" applyNumberFormat="1" applyFont="1" applyFill="1" applyBorder="1" applyAlignment="1">
      <alignment/>
    </xf>
    <xf numFmtId="180" fontId="7" fillId="0" borderId="40" xfId="21" applyNumberFormat="1" applyFont="1" applyFill="1" applyBorder="1">
      <alignment/>
      <protection/>
    </xf>
    <xf numFmtId="38" fontId="7" fillId="0" borderId="51" xfId="17" applyFont="1" applyFill="1" applyBorder="1" applyAlignment="1">
      <alignment horizontal="center"/>
    </xf>
    <xf numFmtId="38" fontId="7" fillId="0" borderId="51" xfId="17" applyFont="1" applyFill="1" applyBorder="1" applyAlignment="1">
      <alignment/>
    </xf>
    <xf numFmtId="38" fontId="7" fillId="0" borderId="52" xfId="17" applyFont="1" applyFill="1" applyBorder="1" applyAlignment="1">
      <alignment horizontal="center"/>
    </xf>
    <xf numFmtId="38" fontId="7" fillId="0" borderId="0" xfId="17" applyFont="1" applyFill="1" applyBorder="1" applyAlignment="1">
      <alignment horizontal="distributed" shrinkToFit="1"/>
    </xf>
    <xf numFmtId="38" fontId="7" fillId="0" borderId="53" xfId="17" applyFont="1" applyFill="1" applyBorder="1" applyAlignment="1">
      <alignment/>
    </xf>
    <xf numFmtId="38" fontId="7" fillId="0" borderId="54" xfId="17" applyFont="1" applyFill="1" applyBorder="1" applyAlignment="1">
      <alignment/>
    </xf>
    <xf numFmtId="185" fontId="10" fillId="0" borderId="20" xfId="17" applyNumberFormat="1" applyFont="1" applyFill="1" applyBorder="1" applyAlignment="1">
      <alignment horizontal="right"/>
    </xf>
    <xf numFmtId="38" fontId="7" fillId="0" borderId="20" xfId="17" applyFont="1" applyFill="1" applyBorder="1" applyAlignment="1">
      <alignment/>
    </xf>
    <xf numFmtId="185" fontId="10" fillId="0" borderId="22" xfId="17" applyNumberFormat="1" applyFont="1" applyFill="1" applyBorder="1" applyAlignment="1">
      <alignment horizontal="right"/>
    </xf>
    <xf numFmtId="38" fontId="7" fillId="0" borderId="55" xfId="17" applyFont="1" applyFill="1" applyBorder="1" applyAlignment="1">
      <alignment/>
    </xf>
    <xf numFmtId="38" fontId="7" fillId="0" borderId="44" xfId="17" applyFont="1" applyFill="1" applyBorder="1" applyAlignment="1">
      <alignment/>
    </xf>
    <xf numFmtId="38" fontId="7" fillId="0" borderId="45" xfId="17" applyFont="1" applyFill="1" applyBorder="1" applyAlignment="1">
      <alignment/>
    </xf>
    <xf numFmtId="38" fontId="7" fillId="0" borderId="45" xfId="17" applyFont="1" applyFill="1" applyBorder="1" applyAlignment="1">
      <alignment/>
    </xf>
    <xf numFmtId="38" fontId="7" fillId="0" borderId="56" xfId="17" applyFont="1" applyFill="1" applyBorder="1" applyAlignment="1">
      <alignment/>
    </xf>
    <xf numFmtId="180" fontId="7" fillId="0" borderId="27" xfId="21" applyNumberFormat="1" applyFont="1" applyFill="1" applyBorder="1">
      <alignment/>
      <protection/>
    </xf>
    <xf numFmtId="185" fontId="10" fillId="0" borderId="27" xfId="17" applyNumberFormat="1" applyFont="1" applyFill="1" applyBorder="1" applyAlignment="1">
      <alignment horizontal="right"/>
    </xf>
    <xf numFmtId="180" fontId="7" fillId="0" borderId="30" xfId="21" applyNumberFormat="1" applyFont="1" applyFill="1" applyBorder="1">
      <alignment/>
      <protection/>
    </xf>
    <xf numFmtId="180" fontId="7" fillId="0" borderId="7" xfId="21" applyNumberFormat="1" applyFont="1" applyFill="1" applyBorder="1">
      <alignment/>
      <protection/>
    </xf>
    <xf numFmtId="180" fontId="7" fillId="0" borderId="9" xfId="17" applyNumberFormat="1" applyFont="1" applyFill="1" applyBorder="1" applyAlignment="1">
      <alignment/>
    </xf>
    <xf numFmtId="185" fontId="10" fillId="0" borderId="31" xfId="17" applyNumberFormat="1" applyFont="1" applyFill="1" applyBorder="1" applyAlignment="1">
      <alignment horizontal="right"/>
    </xf>
    <xf numFmtId="38" fontId="7" fillId="0" borderId="57" xfId="17" applyFont="1" applyFill="1" applyBorder="1" applyAlignment="1">
      <alignment/>
    </xf>
    <xf numFmtId="38" fontId="7" fillId="0" borderId="49" xfId="17" applyFont="1" applyFill="1" applyBorder="1" applyAlignment="1">
      <alignment/>
    </xf>
    <xf numFmtId="38" fontId="7" fillId="0" borderId="58" xfId="17" applyFont="1" applyFill="1" applyBorder="1" applyAlignment="1">
      <alignment/>
    </xf>
    <xf numFmtId="185" fontId="10" fillId="0" borderId="13" xfId="17" applyNumberFormat="1" applyFont="1" applyFill="1" applyBorder="1" applyAlignment="1">
      <alignment horizontal="right"/>
    </xf>
    <xf numFmtId="185" fontId="10" fillId="0" borderId="36" xfId="17" applyNumberFormat="1" applyFont="1" applyFill="1" applyBorder="1" applyAlignment="1">
      <alignment horizontal="right"/>
    </xf>
    <xf numFmtId="38" fontId="7" fillId="0" borderId="59" xfId="17" applyFont="1" applyFill="1" applyBorder="1" applyAlignment="1">
      <alignment/>
    </xf>
    <xf numFmtId="38" fontId="7" fillId="0" borderId="28" xfId="17" applyFont="1" applyFill="1" applyBorder="1" applyAlignment="1">
      <alignment/>
    </xf>
    <xf numFmtId="38" fontId="7" fillId="0" borderId="52" xfId="17" applyFont="1" applyFill="1" applyBorder="1" applyAlignment="1">
      <alignment/>
    </xf>
    <xf numFmtId="185" fontId="7" fillId="0" borderId="21" xfId="17" applyNumberFormat="1" applyFont="1" applyFill="1" applyBorder="1" applyAlignment="1">
      <alignment/>
    </xf>
    <xf numFmtId="185" fontId="7" fillId="0" borderId="20" xfId="21" applyNumberFormat="1" applyFont="1" applyFill="1" applyBorder="1">
      <alignment/>
      <protection/>
    </xf>
    <xf numFmtId="185" fontId="10" fillId="0" borderId="21" xfId="17" applyNumberFormat="1" applyFont="1" applyFill="1" applyBorder="1" applyAlignment="1">
      <alignment horizontal="right"/>
    </xf>
    <xf numFmtId="185" fontId="7" fillId="0" borderId="19" xfId="21" applyNumberFormat="1" applyFont="1" applyFill="1" applyBorder="1">
      <alignment/>
      <protection/>
    </xf>
    <xf numFmtId="182" fontId="7" fillId="0" borderId="13" xfId="21" applyNumberFormat="1" applyFont="1" applyFill="1" applyBorder="1">
      <alignment/>
      <protection/>
    </xf>
    <xf numFmtId="185" fontId="7" fillId="0" borderId="23" xfId="17" applyNumberFormat="1" applyFont="1" applyFill="1" applyBorder="1" applyAlignment="1">
      <alignment/>
    </xf>
    <xf numFmtId="185" fontId="7" fillId="0" borderId="20" xfId="17" applyNumberFormat="1" applyFont="1" applyFill="1" applyBorder="1" applyAlignment="1">
      <alignment/>
    </xf>
    <xf numFmtId="185" fontId="10" fillId="0" borderId="18" xfId="17" applyNumberFormat="1" applyFont="1" applyFill="1" applyBorder="1" applyAlignment="1">
      <alignment horizontal="right"/>
    </xf>
    <xf numFmtId="38" fontId="7" fillId="0" borderId="60" xfId="17" applyFont="1" applyFill="1" applyBorder="1" applyAlignment="1">
      <alignment/>
    </xf>
    <xf numFmtId="38" fontId="7" fillId="0" borderId="61" xfId="17" applyFont="1" applyFill="1" applyBorder="1" applyAlignment="1">
      <alignment/>
    </xf>
    <xf numFmtId="38" fontId="7" fillId="0" borderId="61" xfId="17" applyFont="1" applyFill="1" applyBorder="1" applyAlignment="1">
      <alignment/>
    </xf>
    <xf numFmtId="38" fontId="7" fillId="0" borderId="62" xfId="17" applyFont="1" applyFill="1" applyBorder="1" applyAlignment="1">
      <alignment/>
    </xf>
    <xf numFmtId="185" fontId="7" fillId="0" borderId="63" xfId="17" applyNumberFormat="1" applyFont="1" applyFill="1" applyBorder="1" applyAlignment="1">
      <alignment/>
    </xf>
    <xf numFmtId="185" fontId="7" fillId="0" borderId="64" xfId="21" applyNumberFormat="1" applyFont="1" applyFill="1" applyBorder="1">
      <alignment/>
      <protection/>
    </xf>
    <xf numFmtId="185" fontId="10" fillId="0" borderId="61" xfId="17" applyNumberFormat="1" applyFont="1" applyFill="1" applyBorder="1" applyAlignment="1">
      <alignment horizontal="right"/>
    </xf>
    <xf numFmtId="185" fontId="10" fillId="0" borderId="65" xfId="17" applyNumberFormat="1" applyFont="1" applyFill="1" applyBorder="1" applyAlignment="1">
      <alignment horizontal="right"/>
    </xf>
    <xf numFmtId="185" fontId="7" fillId="0" borderId="66" xfId="21" applyNumberFormat="1" applyFont="1" applyFill="1" applyBorder="1">
      <alignment/>
      <protection/>
    </xf>
    <xf numFmtId="182" fontId="7" fillId="0" borderId="64" xfId="21" applyNumberFormat="1" applyFont="1" applyFill="1" applyBorder="1">
      <alignment/>
      <protection/>
    </xf>
    <xf numFmtId="185" fontId="10" fillId="0" borderId="64" xfId="17" applyNumberFormat="1" applyFont="1" applyFill="1" applyBorder="1" applyAlignment="1">
      <alignment horizontal="right"/>
    </xf>
    <xf numFmtId="185" fontId="7" fillId="0" borderId="67" xfId="17" applyNumberFormat="1" applyFont="1" applyFill="1" applyBorder="1" applyAlignment="1">
      <alignment/>
    </xf>
    <xf numFmtId="181" fontId="7" fillId="0" borderId="65" xfId="17" applyNumberFormat="1" applyFont="1" applyFill="1" applyBorder="1" applyAlignment="1">
      <alignment/>
    </xf>
    <xf numFmtId="185" fontId="10" fillId="0" borderId="63" xfId="17" applyNumberFormat="1" applyFont="1" applyFill="1" applyBorder="1" applyAlignment="1">
      <alignment horizontal="right"/>
    </xf>
    <xf numFmtId="192" fontId="7" fillId="0" borderId="61" xfId="17" applyNumberFormat="1" applyFont="1" applyFill="1" applyBorder="1" applyAlignment="1">
      <alignment/>
    </xf>
    <xf numFmtId="180" fontId="7" fillId="0" borderId="0" xfId="17" applyNumberFormat="1" applyFont="1" applyFill="1" applyAlignment="1">
      <alignment horizontal="right"/>
    </xf>
    <xf numFmtId="38" fontId="9" fillId="0" borderId="0" xfId="17" applyFont="1" applyFill="1" applyBorder="1" applyAlignment="1">
      <alignment/>
    </xf>
    <xf numFmtId="38" fontId="9" fillId="0" borderId="0" xfId="17" applyFont="1" applyFill="1" applyBorder="1" applyAlignment="1">
      <alignment/>
    </xf>
    <xf numFmtId="182" fontId="10" fillId="0" borderId="42" xfId="17" applyNumberFormat="1" applyFont="1" applyFill="1" applyBorder="1" applyAlignment="1">
      <alignment/>
    </xf>
    <xf numFmtId="182" fontId="10" fillId="0" borderId="24" xfId="17" applyNumberFormat="1" applyFont="1" applyFill="1" applyBorder="1" applyAlignment="1">
      <alignment/>
    </xf>
    <xf numFmtId="182" fontId="10" fillId="0" borderId="6" xfId="17" applyNumberFormat="1" applyFont="1" applyFill="1" applyBorder="1" applyAlignment="1">
      <alignment/>
    </xf>
    <xf numFmtId="182" fontId="10" fillId="0" borderId="41" xfId="17" applyNumberFormat="1" applyFont="1" applyFill="1" applyBorder="1" applyAlignment="1">
      <alignment/>
    </xf>
    <xf numFmtId="178" fontId="10" fillId="0" borderId="5" xfId="17" applyNumberFormat="1" applyFont="1" applyFill="1" applyBorder="1" applyAlignment="1">
      <alignment horizontal="right"/>
    </xf>
    <xf numFmtId="178" fontId="10" fillId="0" borderId="42" xfId="17" applyNumberFormat="1" applyFont="1" applyFill="1" applyBorder="1" applyAlignment="1">
      <alignment/>
    </xf>
    <xf numFmtId="178" fontId="10" fillId="0" borderId="6" xfId="17" applyNumberFormat="1" applyFont="1" applyFill="1" applyBorder="1" applyAlignment="1">
      <alignment/>
    </xf>
    <xf numFmtId="178" fontId="10" fillId="0" borderId="24" xfId="17" applyNumberFormat="1" applyFont="1" applyFill="1" applyBorder="1" applyAlignment="1">
      <alignment/>
    </xf>
    <xf numFmtId="178" fontId="10" fillId="0" borderId="41" xfId="17" applyNumberFormat="1" applyFont="1" applyFill="1" applyBorder="1" applyAlignment="1">
      <alignment/>
    </xf>
    <xf numFmtId="178" fontId="10" fillId="0" borderId="41" xfId="17" applyNumberFormat="1" applyFont="1" applyFill="1" applyBorder="1" applyAlignment="1">
      <alignment horizontal="right"/>
    </xf>
    <xf numFmtId="182" fontId="10" fillId="0" borderId="5" xfId="17" applyNumberFormat="1" applyFont="1" applyFill="1" applyBorder="1" applyAlignment="1">
      <alignment horizontal="right"/>
    </xf>
    <xf numFmtId="182" fontId="10" fillId="0" borderId="13" xfId="17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182" fontId="10" fillId="0" borderId="27" xfId="17" applyNumberFormat="1" applyFont="1" applyFill="1" applyBorder="1" applyAlignment="1">
      <alignment horizontal="right"/>
    </xf>
    <xf numFmtId="182" fontId="10" fillId="0" borderId="41" xfId="17" applyNumberFormat="1" applyFont="1" applyFill="1" applyBorder="1" applyAlignment="1">
      <alignment horizontal="right"/>
    </xf>
    <xf numFmtId="182" fontId="10" fillId="0" borderId="42" xfId="17" applyNumberFormat="1" applyFont="1" applyFill="1" applyBorder="1" applyAlignment="1">
      <alignment horizontal="right"/>
    </xf>
    <xf numFmtId="182" fontId="10" fillId="0" borderId="24" xfId="17" applyNumberFormat="1" applyFont="1" applyFill="1" applyBorder="1" applyAlignment="1">
      <alignment horizontal="right"/>
    </xf>
    <xf numFmtId="182" fontId="10" fillId="0" borderId="48" xfId="17" applyNumberFormat="1" applyFont="1" applyFill="1" applyBorder="1" applyAlignment="1">
      <alignment horizontal="right"/>
    </xf>
    <xf numFmtId="181" fontId="7" fillId="0" borderId="5" xfId="17" applyNumberFormat="1" applyFont="1" applyFill="1" applyBorder="1" applyAlignment="1">
      <alignment/>
    </xf>
    <xf numFmtId="181" fontId="7" fillId="0" borderId="13" xfId="17" applyNumberFormat="1" applyFont="1" applyFill="1" applyBorder="1" applyAlignment="1">
      <alignment/>
    </xf>
    <xf numFmtId="38" fontId="7" fillId="0" borderId="41" xfId="17" applyFont="1" applyBorder="1" applyAlignment="1">
      <alignment horizontal="center"/>
    </xf>
    <xf numFmtId="189" fontId="7" fillId="0" borderId="10" xfId="17" applyNumberFormat="1" applyFont="1" applyBorder="1" applyAlignment="1">
      <alignment horizontal="center"/>
    </xf>
    <xf numFmtId="189" fontId="7" fillId="0" borderId="10" xfId="17" applyNumberFormat="1" applyFont="1" applyFill="1" applyBorder="1" applyAlignment="1">
      <alignment horizontal="center"/>
    </xf>
    <xf numFmtId="180" fontId="7" fillId="0" borderId="42" xfId="17" applyNumberFormat="1" applyFont="1" applyFill="1" applyBorder="1" applyAlignment="1">
      <alignment/>
    </xf>
    <xf numFmtId="185" fontId="10" fillId="0" borderId="68" xfId="17" applyNumberFormat="1" applyFont="1" applyFill="1" applyBorder="1" applyAlignment="1">
      <alignment horizontal="right"/>
    </xf>
    <xf numFmtId="185" fontId="10" fillId="0" borderId="69" xfId="17" applyNumberFormat="1" applyFont="1" applyFill="1" applyBorder="1" applyAlignment="1">
      <alignment horizontal="right"/>
    </xf>
    <xf numFmtId="178" fontId="10" fillId="0" borderId="13" xfId="17" applyNumberFormat="1" applyFont="1" applyFill="1" applyBorder="1" applyAlignment="1">
      <alignment horizontal="right"/>
    </xf>
    <xf numFmtId="178" fontId="10" fillId="0" borderId="42" xfId="17" applyNumberFormat="1" applyFont="1" applyFill="1" applyBorder="1" applyAlignment="1">
      <alignment horizontal="right"/>
    </xf>
    <xf numFmtId="182" fontId="7" fillId="0" borderId="29" xfId="17" applyNumberFormat="1" applyFont="1" applyFill="1" applyBorder="1" applyAlignment="1">
      <alignment horizontal="right"/>
    </xf>
    <xf numFmtId="182" fontId="10" fillId="0" borderId="70" xfId="17" applyNumberFormat="1" applyFont="1" applyFill="1" applyBorder="1" applyAlignment="1">
      <alignment/>
    </xf>
    <xf numFmtId="182" fontId="10" fillId="0" borderId="71" xfId="17" applyNumberFormat="1" applyFont="1" applyFill="1" applyBorder="1" applyAlignment="1">
      <alignment/>
    </xf>
    <xf numFmtId="182" fontId="10" fillId="0" borderId="72" xfId="17" applyNumberFormat="1" applyFont="1" applyFill="1" applyBorder="1" applyAlignment="1">
      <alignment/>
    </xf>
    <xf numFmtId="182" fontId="10" fillId="0" borderId="73" xfId="17" applyNumberFormat="1" applyFont="1" applyFill="1" applyBorder="1" applyAlignment="1">
      <alignment/>
    </xf>
    <xf numFmtId="182" fontId="10" fillId="0" borderId="74" xfId="17" applyNumberFormat="1" applyFont="1" applyFill="1" applyBorder="1" applyAlignment="1">
      <alignment/>
    </xf>
    <xf numFmtId="178" fontId="10" fillId="0" borderId="70" xfId="17" applyNumberFormat="1" applyFont="1" applyFill="1" applyBorder="1" applyAlignment="1">
      <alignment/>
    </xf>
    <xf numFmtId="178" fontId="10" fillId="0" borderId="73" xfId="17" applyNumberFormat="1" applyFont="1" applyFill="1" applyBorder="1" applyAlignment="1">
      <alignment/>
    </xf>
    <xf numFmtId="178" fontId="10" fillId="0" borderId="72" xfId="17" applyNumberFormat="1" applyFont="1" applyFill="1" applyBorder="1" applyAlignment="1">
      <alignment/>
    </xf>
    <xf numFmtId="178" fontId="10" fillId="0" borderId="71" xfId="17" applyNumberFormat="1" applyFont="1" applyFill="1" applyBorder="1" applyAlignment="1">
      <alignment/>
    </xf>
    <xf numFmtId="38" fontId="7" fillId="0" borderId="40" xfId="17" applyFont="1" applyBorder="1" applyAlignment="1">
      <alignment horizontal="center"/>
    </xf>
    <xf numFmtId="38" fontId="7" fillId="0" borderId="75" xfId="17" applyFont="1" applyBorder="1" applyAlignment="1">
      <alignment horizontal="center"/>
    </xf>
    <xf numFmtId="178" fontId="10" fillId="0" borderId="40" xfId="17" applyNumberFormat="1" applyFont="1" applyFill="1" applyBorder="1" applyAlignment="1">
      <alignment/>
    </xf>
    <xf numFmtId="178" fontId="10" fillId="0" borderId="15" xfId="17" applyNumberFormat="1" applyFont="1" applyFill="1" applyBorder="1" applyAlignment="1">
      <alignment/>
    </xf>
    <xf numFmtId="178" fontId="10" fillId="0" borderId="22" xfId="17" applyNumberFormat="1" applyFont="1" applyFill="1" applyBorder="1" applyAlignment="1">
      <alignment/>
    </xf>
    <xf numFmtId="178" fontId="10" fillId="0" borderId="31" xfId="17" applyNumberFormat="1" applyFont="1" applyFill="1" applyBorder="1" applyAlignment="1">
      <alignment/>
    </xf>
    <xf numFmtId="182" fontId="10" fillId="0" borderId="15" xfId="17" applyNumberFormat="1" applyFont="1" applyFill="1" applyBorder="1" applyAlignment="1">
      <alignment/>
    </xf>
    <xf numFmtId="182" fontId="10" fillId="0" borderId="31" xfId="17" applyNumberFormat="1" applyFont="1" applyFill="1" applyBorder="1" applyAlignment="1">
      <alignment/>
    </xf>
    <xf numFmtId="182" fontId="10" fillId="0" borderId="40" xfId="17" applyNumberFormat="1" applyFont="1" applyFill="1" applyBorder="1" applyAlignment="1">
      <alignment/>
    </xf>
    <xf numFmtId="182" fontId="10" fillId="0" borderId="22" xfId="17" applyNumberFormat="1" applyFont="1" applyFill="1" applyBorder="1" applyAlignment="1">
      <alignment/>
    </xf>
    <xf numFmtId="182" fontId="10" fillId="0" borderId="22" xfId="17" applyNumberFormat="1" applyFont="1" applyFill="1" applyBorder="1" applyAlignment="1">
      <alignment horizontal="right"/>
    </xf>
    <xf numFmtId="182" fontId="10" fillId="0" borderId="40" xfId="17" applyNumberFormat="1" applyFont="1" applyFill="1" applyBorder="1" applyAlignment="1">
      <alignment horizontal="right"/>
    </xf>
    <xf numFmtId="182" fontId="10" fillId="0" borderId="15" xfId="17" applyNumberFormat="1" applyFont="1" applyFill="1" applyBorder="1" applyAlignment="1">
      <alignment horizontal="right"/>
    </xf>
    <xf numFmtId="182" fontId="10" fillId="0" borderId="44" xfId="17" applyNumberFormat="1" applyFont="1" applyFill="1" applyBorder="1" applyAlignment="1">
      <alignment horizontal="right"/>
    </xf>
    <xf numFmtId="185" fontId="10" fillId="0" borderId="76" xfId="17" applyNumberFormat="1" applyFont="1" applyFill="1" applyBorder="1" applyAlignment="1">
      <alignment horizontal="right"/>
    </xf>
    <xf numFmtId="180" fontId="14" fillId="0" borderId="19" xfId="17" applyNumberFormat="1" applyFont="1" applyFill="1" applyBorder="1" applyAlignment="1">
      <alignment/>
    </xf>
    <xf numFmtId="185" fontId="7" fillId="0" borderId="19" xfId="17" applyNumberFormat="1" applyFont="1" applyFill="1" applyBorder="1" applyAlignment="1">
      <alignment/>
    </xf>
    <xf numFmtId="38" fontId="7" fillId="0" borderId="1" xfId="17" applyFont="1" applyFill="1" applyBorder="1" applyAlignment="1">
      <alignment horizontal="distributed" indent="6"/>
    </xf>
    <xf numFmtId="38" fontId="7" fillId="2" borderId="58" xfId="17" applyFont="1" applyFill="1" applyBorder="1" applyAlignment="1">
      <alignment horizontal="distributed" indent="6"/>
    </xf>
    <xf numFmtId="38" fontId="8" fillId="0" borderId="77" xfId="17" applyFont="1" applyFill="1" applyBorder="1" applyAlignment="1">
      <alignment horizontal="distributed" indent="12"/>
    </xf>
    <xf numFmtId="38" fontId="8" fillId="0" borderId="78" xfId="17" applyFont="1" applyFill="1" applyBorder="1" applyAlignment="1">
      <alignment horizontal="distributed" indent="12"/>
    </xf>
    <xf numFmtId="38" fontId="8" fillId="0" borderId="79" xfId="17" applyFont="1" applyFill="1" applyBorder="1" applyAlignment="1">
      <alignment horizontal="distributed" indent="12"/>
    </xf>
    <xf numFmtId="38" fontId="7" fillId="0" borderId="18" xfId="17" applyFont="1" applyBorder="1" applyAlignment="1">
      <alignment horizontal="distributed"/>
    </xf>
    <xf numFmtId="38" fontId="7" fillId="0" borderId="21" xfId="17" applyFont="1" applyBorder="1" applyAlignment="1">
      <alignment horizontal="distributed"/>
    </xf>
    <xf numFmtId="38" fontId="7" fillId="0" borderId="80" xfId="17" applyFont="1" applyFill="1" applyBorder="1" applyAlignment="1">
      <alignment horizontal="distributed"/>
    </xf>
    <xf numFmtId="38" fontId="7" fillId="0" borderId="21" xfId="17" applyFont="1" applyFill="1" applyBorder="1" applyAlignment="1">
      <alignment horizontal="distributed"/>
    </xf>
    <xf numFmtId="38" fontId="7" fillId="2" borderId="1" xfId="17" applyFont="1" applyFill="1" applyBorder="1" applyAlignment="1">
      <alignment horizontal="distributed" indent="6"/>
    </xf>
    <xf numFmtId="38" fontId="7" fillId="2" borderId="2" xfId="17" applyFont="1" applyFill="1" applyBorder="1" applyAlignment="1">
      <alignment horizontal="distributed" indent="6"/>
    </xf>
    <xf numFmtId="38" fontId="7" fillId="0" borderId="2" xfId="17" applyFont="1" applyFill="1" applyBorder="1" applyAlignment="1">
      <alignment horizontal="distributed" indent="6"/>
    </xf>
    <xf numFmtId="38" fontId="7" fillId="0" borderId="3" xfId="17" applyFont="1" applyFill="1" applyBorder="1" applyAlignment="1">
      <alignment horizontal="distributed" indent="6"/>
    </xf>
    <xf numFmtId="38" fontId="9" fillId="0" borderId="28" xfId="17" applyFont="1" applyFill="1" applyBorder="1" applyAlignment="1">
      <alignment horizontal="center" vertical="center" wrapText="1"/>
    </xf>
    <xf numFmtId="38" fontId="9" fillId="0" borderId="5" xfId="17" applyFont="1" applyFill="1" applyBorder="1" applyAlignment="1">
      <alignment vertical="center"/>
    </xf>
    <xf numFmtId="38" fontId="9" fillId="0" borderId="28" xfId="17" applyFont="1" applyBorder="1" applyAlignment="1">
      <alignment horizontal="center" vertical="center" wrapText="1"/>
    </xf>
    <xf numFmtId="38" fontId="9" fillId="0" borderId="5" xfId="17" applyFont="1" applyBorder="1" applyAlignment="1">
      <alignment vertical="center"/>
    </xf>
    <xf numFmtId="38" fontId="7" fillId="0" borderId="28" xfId="17" applyFont="1" applyBorder="1" applyAlignment="1">
      <alignment horizontal="center" vertical="center"/>
    </xf>
    <xf numFmtId="38" fontId="7" fillId="0" borderId="7" xfId="17" applyFont="1" applyBorder="1" applyAlignment="1">
      <alignment horizontal="center" vertical="center"/>
    </xf>
    <xf numFmtId="38" fontId="7" fillId="0" borderId="68" xfId="17" applyFont="1" applyBorder="1" applyAlignment="1">
      <alignment horizontal="distributed"/>
    </xf>
    <xf numFmtId="38" fontId="7" fillId="0" borderId="22" xfId="17" applyFont="1" applyFill="1" applyBorder="1" applyAlignment="1">
      <alignment horizontal="distributed"/>
    </xf>
    <xf numFmtId="38" fontId="7" fillId="0" borderId="68" xfId="17" applyFont="1" applyFill="1" applyBorder="1" applyAlignment="1">
      <alignment horizontal="distributed"/>
    </xf>
    <xf numFmtId="38" fontId="7" fillId="0" borderId="32" xfId="17" applyFont="1" applyBorder="1" applyAlignment="1">
      <alignment horizontal="center" vertical="center"/>
    </xf>
    <xf numFmtId="38" fontId="7" fillId="0" borderId="43" xfId="17" applyFont="1" applyBorder="1" applyAlignment="1">
      <alignment horizontal="center" vertical="center"/>
    </xf>
    <xf numFmtId="38" fontId="7" fillId="0" borderId="80" xfId="17" applyFont="1" applyBorder="1" applyAlignment="1">
      <alignment horizontal="distributed"/>
    </xf>
    <xf numFmtId="38" fontId="7" fillId="0" borderId="59" xfId="17" applyFont="1" applyBorder="1" applyAlignment="1">
      <alignment horizontal="distributed"/>
    </xf>
    <xf numFmtId="38" fontId="7" fillId="0" borderId="26" xfId="17" applyFont="1" applyBorder="1" applyAlignment="1">
      <alignment horizontal="center" vertical="center"/>
    </xf>
    <xf numFmtId="38" fontId="7" fillId="0" borderId="81" xfId="17" applyFont="1" applyBorder="1" applyAlignment="1">
      <alignment horizontal="center" vertical="center"/>
    </xf>
    <xf numFmtId="0" fontId="0" fillId="0" borderId="21" xfId="0" applyBorder="1" applyAlignment="1">
      <alignment/>
    </xf>
    <xf numFmtId="38" fontId="7" fillId="0" borderId="28" xfId="17" applyFont="1" applyFill="1" applyBorder="1" applyAlignment="1">
      <alignment horizontal="center" vertical="center"/>
    </xf>
    <xf numFmtId="38" fontId="7" fillId="0" borderId="7" xfId="17" applyFont="1" applyFill="1" applyBorder="1" applyAlignment="1">
      <alignment horizontal="center" vertical="center"/>
    </xf>
    <xf numFmtId="38" fontId="4" fillId="0" borderId="0" xfId="17" applyFont="1" applyBorder="1" applyAlignment="1">
      <alignment shrinkToFit="1"/>
    </xf>
    <xf numFmtId="38" fontId="7" fillId="0" borderId="82" xfId="17" applyFont="1" applyFill="1" applyBorder="1" applyAlignment="1">
      <alignment horizontal="center"/>
    </xf>
    <xf numFmtId="38" fontId="7" fillId="0" borderId="25" xfId="17" applyFont="1" applyFill="1" applyBorder="1" applyAlignment="1">
      <alignment/>
    </xf>
    <xf numFmtId="38" fontId="7" fillId="0" borderId="59" xfId="17" applyFont="1" applyFill="1" applyBorder="1" applyAlignment="1">
      <alignment horizontal="center"/>
    </xf>
    <xf numFmtId="38" fontId="7" fillId="0" borderId="18" xfId="17" applyFont="1" applyFill="1" applyBorder="1" applyAlignment="1">
      <alignment/>
    </xf>
    <xf numFmtId="38" fontId="7" fillId="0" borderId="83" xfId="17" applyFont="1" applyBorder="1" applyAlignment="1">
      <alignment horizontal="center" vertical="center"/>
    </xf>
    <xf numFmtId="38" fontId="7" fillId="0" borderId="84" xfId="17" applyFont="1" applyBorder="1" applyAlignment="1">
      <alignment vertical="center"/>
    </xf>
    <xf numFmtId="38" fontId="7" fillId="0" borderId="85" xfId="17" applyFont="1" applyBorder="1" applyAlignment="1">
      <alignment vertical="center"/>
    </xf>
    <xf numFmtId="38" fontId="7" fillId="0" borderId="53" xfId="17" applyFont="1" applyBorder="1" applyAlignment="1">
      <alignment vertical="center"/>
    </xf>
    <xf numFmtId="38" fontId="7" fillId="0" borderId="0" xfId="17" applyFont="1" applyBorder="1" applyAlignment="1">
      <alignment vertical="center"/>
    </xf>
    <xf numFmtId="38" fontId="7" fillId="0" borderId="51" xfId="17" applyFont="1" applyBorder="1" applyAlignment="1">
      <alignment vertical="center"/>
    </xf>
    <xf numFmtId="38" fontId="7" fillId="0" borderId="55" xfId="17" applyFont="1" applyBorder="1" applyAlignment="1">
      <alignment vertical="center"/>
    </xf>
    <xf numFmtId="38" fontId="7" fillId="0" borderId="9" xfId="17" applyFont="1" applyBorder="1" applyAlignment="1">
      <alignment vertical="center"/>
    </xf>
    <xf numFmtId="38" fontId="7" fillId="0" borderId="86" xfId="17" applyFont="1" applyBorder="1" applyAlignment="1">
      <alignment vertical="center"/>
    </xf>
    <xf numFmtId="38" fontId="8" fillId="0" borderId="87" xfId="17" applyFont="1" applyBorder="1" applyAlignment="1">
      <alignment horizontal="distributed" indent="9"/>
    </xf>
    <xf numFmtId="38" fontId="8" fillId="0" borderId="78" xfId="17" applyFont="1" applyBorder="1" applyAlignment="1">
      <alignment horizontal="distributed" indent="9"/>
    </xf>
    <xf numFmtId="38" fontId="8" fillId="0" borderId="79" xfId="17" applyFont="1" applyBorder="1" applyAlignment="1">
      <alignment horizontal="distributed" indent="9"/>
    </xf>
    <xf numFmtId="38" fontId="7" fillId="0" borderId="26" xfId="17" applyFont="1" applyFill="1" applyBorder="1" applyAlignment="1">
      <alignment horizontal="center" vertical="center"/>
    </xf>
    <xf numFmtId="38" fontId="7" fillId="0" borderId="81" xfId="17" applyFont="1" applyFill="1" applyBorder="1" applyAlignment="1">
      <alignment horizontal="center" vertical="center"/>
    </xf>
    <xf numFmtId="38" fontId="7" fillId="0" borderId="88" xfId="17" applyFont="1" applyFill="1" applyBorder="1" applyAlignment="1">
      <alignment horizontal="center"/>
    </xf>
    <xf numFmtId="38" fontId="7" fillId="0" borderId="2" xfId="17" applyFont="1" applyFill="1" applyBorder="1" applyAlignment="1">
      <alignment/>
    </xf>
    <xf numFmtId="38" fontId="9" fillId="0" borderId="83" xfId="17" applyFont="1" applyFill="1" applyBorder="1" applyAlignment="1">
      <alignment horizontal="center" vertical="center"/>
    </xf>
    <xf numFmtId="38" fontId="9" fillId="0" borderId="84" xfId="17" applyFont="1" applyFill="1" applyBorder="1" applyAlignment="1">
      <alignment vertical="center"/>
    </xf>
    <xf numFmtId="38" fontId="9" fillId="0" borderId="85" xfId="17" applyFont="1" applyFill="1" applyBorder="1" applyAlignment="1">
      <alignment vertical="center"/>
    </xf>
    <xf numFmtId="38" fontId="9" fillId="0" borderId="53" xfId="17" applyFont="1" applyFill="1" applyBorder="1" applyAlignment="1">
      <alignment vertical="center"/>
    </xf>
    <xf numFmtId="38" fontId="9" fillId="0" borderId="0" xfId="17" applyFont="1" applyFill="1" applyBorder="1" applyAlignment="1">
      <alignment vertical="center"/>
    </xf>
    <xf numFmtId="38" fontId="9" fillId="0" borderId="55" xfId="17" applyFont="1" applyFill="1" applyBorder="1" applyAlignment="1">
      <alignment vertical="center"/>
    </xf>
    <xf numFmtId="38" fontId="9" fillId="0" borderId="9" xfId="17" applyFont="1" applyFill="1" applyBorder="1" applyAlignment="1">
      <alignment vertical="center"/>
    </xf>
    <xf numFmtId="38" fontId="7" fillId="0" borderId="22" xfId="17" applyFont="1" applyBorder="1" applyAlignment="1">
      <alignment horizontal="distributed"/>
    </xf>
    <xf numFmtId="38" fontId="4" fillId="0" borderId="0" xfId="17" applyFont="1" applyBorder="1" applyAlignment="1">
      <alignment/>
    </xf>
    <xf numFmtId="38" fontId="6" fillId="0" borderId="0" xfId="17" applyFont="1" applyBorder="1" applyAlignment="1">
      <alignment horizontal="distributed" indent="2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1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58</xdr:row>
      <xdr:rowOff>38100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3352800" y="16878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41"/>
  <sheetViews>
    <sheetView tabSelected="1" zoomScale="75" zoomScaleNormal="75" zoomScaleSheetLayoutView="75" workbookViewId="0" topLeftCell="A1">
      <pane xSplit="7" ySplit="8" topLeftCell="H9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A4" sqref="A4:G8"/>
    </sheetView>
  </sheetViews>
  <sheetFormatPr defaultColWidth="9.00390625" defaultRowHeight="13.5"/>
  <cols>
    <col min="1" max="5" width="2.00390625" style="3" customWidth="1"/>
    <col min="6" max="6" width="20.75390625" style="182" customWidth="1"/>
    <col min="7" max="7" width="1.75390625" style="182" customWidth="1"/>
    <col min="8" max="8" width="11.50390625" style="182" customWidth="1"/>
    <col min="9" max="9" width="11.50390625" style="3" customWidth="1"/>
    <col min="10" max="12" width="9.00390625" style="3" customWidth="1"/>
    <col min="13" max="14" width="11.50390625" style="25" customWidth="1"/>
    <col min="15" max="16" width="9.00390625" style="25" customWidth="1"/>
    <col min="17" max="17" width="9.00390625" style="183" customWidth="1"/>
    <col min="18" max="19" width="11.50390625" style="3" customWidth="1"/>
    <col min="20" max="22" width="9.00390625" style="3" customWidth="1"/>
    <col min="23" max="24" width="11.50390625" style="3" customWidth="1"/>
    <col min="25" max="16384" width="9.00390625" style="3" customWidth="1"/>
  </cols>
  <sheetData>
    <row r="1" spans="1:27" ht="21.75" customHeight="1">
      <c r="A1" s="386" t="s">
        <v>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1" t="s">
        <v>1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5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6"/>
      <c r="N2" s="7"/>
      <c r="O2" s="7"/>
      <c r="P2" s="7"/>
      <c r="Q2" s="8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8.75" customHeight="1" thickBot="1">
      <c r="A3" s="9"/>
      <c r="B3" s="9"/>
      <c r="C3" s="9"/>
      <c r="D3" s="9"/>
      <c r="E3" s="9"/>
      <c r="F3" s="10"/>
      <c r="G3" s="10"/>
      <c r="H3" s="10"/>
      <c r="I3" s="9"/>
      <c r="J3" s="9"/>
      <c r="K3" s="9"/>
      <c r="L3" s="9"/>
      <c r="M3" s="11"/>
      <c r="N3" s="11"/>
      <c r="O3" s="11"/>
      <c r="P3" s="11"/>
      <c r="Q3" s="12"/>
      <c r="R3" s="9" t="s">
        <v>2</v>
      </c>
      <c r="S3" s="11"/>
      <c r="T3" s="9"/>
      <c r="W3" s="10"/>
      <c r="X3" s="10"/>
      <c r="Y3" s="9"/>
      <c r="Z3" s="9"/>
      <c r="AA3" s="13" t="s">
        <v>3</v>
      </c>
    </row>
    <row r="4" spans="1:27" ht="26.25" customHeight="1">
      <c r="A4" s="391" t="s">
        <v>4</v>
      </c>
      <c r="B4" s="392"/>
      <c r="C4" s="392"/>
      <c r="D4" s="392"/>
      <c r="E4" s="392"/>
      <c r="F4" s="392"/>
      <c r="G4" s="393"/>
      <c r="H4" s="400" t="s">
        <v>5</v>
      </c>
      <c r="I4" s="401"/>
      <c r="J4" s="401"/>
      <c r="K4" s="401"/>
      <c r="L4" s="401"/>
      <c r="M4" s="401"/>
      <c r="N4" s="401"/>
      <c r="O4" s="401"/>
      <c r="P4" s="401"/>
      <c r="Q4" s="402"/>
      <c r="R4" s="357" t="s">
        <v>6</v>
      </c>
      <c r="S4" s="358"/>
      <c r="T4" s="358"/>
      <c r="U4" s="358"/>
      <c r="V4" s="358"/>
      <c r="W4" s="358"/>
      <c r="X4" s="358"/>
      <c r="Y4" s="358"/>
      <c r="Z4" s="358"/>
      <c r="AA4" s="359"/>
    </row>
    <row r="5" spans="1:27" ht="26.25" customHeight="1">
      <c r="A5" s="394"/>
      <c r="B5" s="395"/>
      <c r="C5" s="395"/>
      <c r="D5" s="395"/>
      <c r="E5" s="395"/>
      <c r="F5" s="395"/>
      <c r="G5" s="396"/>
      <c r="H5" s="364" t="s">
        <v>7</v>
      </c>
      <c r="I5" s="365"/>
      <c r="J5" s="365"/>
      <c r="K5" s="365"/>
      <c r="L5" s="356"/>
      <c r="M5" s="14" t="s">
        <v>8</v>
      </c>
      <c r="N5" s="15"/>
      <c r="O5" s="15"/>
      <c r="P5" s="16"/>
      <c r="Q5" s="17"/>
      <c r="R5" s="364" t="s">
        <v>7</v>
      </c>
      <c r="S5" s="365"/>
      <c r="T5" s="365"/>
      <c r="U5" s="365"/>
      <c r="V5" s="356"/>
      <c r="W5" s="355" t="s">
        <v>9</v>
      </c>
      <c r="X5" s="366"/>
      <c r="Y5" s="366"/>
      <c r="Z5" s="366"/>
      <c r="AA5" s="367"/>
    </row>
    <row r="6" spans="1:27" ht="26.25" customHeight="1">
      <c r="A6" s="394"/>
      <c r="B6" s="395"/>
      <c r="C6" s="395"/>
      <c r="D6" s="395"/>
      <c r="E6" s="395"/>
      <c r="F6" s="395"/>
      <c r="G6" s="396"/>
      <c r="H6" s="379" t="s">
        <v>10</v>
      </c>
      <c r="I6" s="361"/>
      <c r="J6" s="370" t="s">
        <v>135</v>
      </c>
      <c r="K6" s="360" t="s">
        <v>86</v>
      </c>
      <c r="L6" s="383"/>
      <c r="M6" s="362" t="s">
        <v>87</v>
      </c>
      <c r="N6" s="363"/>
      <c r="O6" s="368" t="s">
        <v>135</v>
      </c>
      <c r="P6" s="375" t="s">
        <v>86</v>
      </c>
      <c r="Q6" s="376"/>
      <c r="R6" s="380" t="s">
        <v>87</v>
      </c>
      <c r="S6" s="361"/>
      <c r="T6" s="370" t="s">
        <v>135</v>
      </c>
      <c r="U6" s="360" t="s">
        <v>86</v>
      </c>
      <c r="V6" s="361"/>
      <c r="W6" s="379" t="s">
        <v>87</v>
      </c>
      <c r="X6" s="361"/>
      <c r="Y6" s="370" t="s">
        <v>135</v>
      </c>
      <c r="Z6" s="360" t="s">
        <v>86</v>
      </c>
      <c r="AA6" s="374"/>
    </row>
    <row r="7" spans="1:27" ht="26.25" customHeight="1">
      <c r="A7" s="394"/>
      <c r="B7" s="395"/>
      <c r="C7" s="395"/>
      <c r="D7" s="395"/>
      <c r="E7" s="395"/>
      <c r="F7" s="395"/>
      <c r="G7" s="396"/>
      <c r="H7" s="381" t="s">
        <v>11</v>
      </c>
      <c r="I7" s="372" t="s">
        <v>134</v>
      </c>
      <c r="J7" s="371"/>
      <c r="K7" s="18" t="s">
        <v>88</v>
      </c>
      <c r="L7" s="19" t="s">
        <v>89</v>
      </c>
      <c r="M7" s="403" t="s">
        <v>11</v>
      </c>
      <c r="N7" s="384" t="s">
        <v>134</v>
      </c>
      <c r="O7" s="369"/>
      <c r="P7" s="19" t="s">
        <v>88</v>
      </c>
      <c r="Q7" s="320" t="s">
        <v>89</v>
      </c>
      <c r="R7" s="377" t="s">
        <v>11</v>
      </c>
      <c r="S7" s="372" t="s">
        <v>134</v>
      </c>
      <c r="T7" s="371"/>
      <c r="U7" s="18" t="s">
        <v>88</v>
      </c>
      <c r="V7" s="19" t="s">
        <v>89</v>
      </c>
      <c r="W7" s="381" t="s">
        <v>11</v>
      </c>
      <c r="X7" s="372" t="s">
        <v>134</v>
      </c>
      <c r="Y7" s="371"/>
      <c r="Z7" s="18" t="s">
        <v>88</v>
      </c>
      <c r="AA7" s="20" t="s">
        <v>89</v>
      </c>
    </row>
    <row r="8" spans="1:27" s="25" customFormat="1" ht="26.25" customHeight="1">
      <c r="A8" s="397"/>
      <c r="B8" s="398"/>
      <c r="C8" s="398"/>
      <c r="D8" s="398"/>
      <c r="E8" s="398"/>
      <c r="F8" s="398"/>
      <c r="G8" s="399"/>
      <c r="H8" s="382"/>
      <c r="I8" s="373"/>
      <c r="J8" s="21" t="s">
        <v>12</v>
      </c>
      <c r="K8" s="22" t="s">
        <v>12</v>
      </c>
      <c r="L8" s="21" t="s">
        <v>12</v>
      </c>
      <c r="M8" s="404"/>
      <c r="N8" s="385"/>
      <c r="O8" s="21" t="s">
        <v>12</v>
      </c>
      <c r="P8" s="21" t="s">
        <v>12</v>
      </c>
      <c r="Q8" s="322" t="s">
        <v>12</v>
      </c>
      <c r="R8" s="378"/>
      <c r="S8" s="373"/>
      <c r="T8" s="21" t="s">
        <v>12</v>
      </c>
      <c r="U8" s="22" t="s">
        <v>12</v>
      </c>
      <c r="V8" s="21" t="s">
        <v>12</v>
      </c>
      <c r="W8" s="382"/>
      <c r="X8" s="373"/>
      <c r="Y8" s="23" t="s">
        <v>12</v>
      </c>
      <c r="Z8" s="21" t="s">
        <v>12</v>
      </c>
      <c r="AA8" s="24" t="s">
        <v>12</v>
      </c>
    </row>
    <row r="9" spans="1:27" s="25" customFormat="1" ht="26.25" customHeight="1">
      <c r="A9" s="405" t="s">
        <v>13</v>
      </c>
      <c r="B9" s="406"/>
      <c r="C9" s="406"/>
      <c r="D9" s="406"/>
      <c r="E9" s="406"/>
      <c r="F9" s="406"/>
      <c r="G9" s="406"/>
      <c r="H9" s="26">
        <v>52</v>
      </c>
      <c r="I9" s="27">
        <v>50.333333333333336</v>
      </c>
      <c r="J9" s="28"/>
      <c r="K9" s="29"/>
      <c r="L9" s="28"/>
      <c r="M9" s="30">
        <v>4269</v>
      </c>
      <c r="N9" s="27">
        <v>4240</v>
      </c>
      <c r="O9" s="74"/>
      <c r="P9" s="74"/>
      <c r="Q9" s="323"/>
      <c r="R9" s="32">
        <v>95</v>
      </c>
      <c r="S9" s="28">
        <v>95.41666666666667</v>
      </c>
      <c r="T9" s="28"/>
      <c r="U9" s="29"/>
      <c r="V9" s="28"/>
      <c r="W9" s="33">
        <v>7818</v>
      </c>
      <c r="X9" s="34">
        <v>7828</v>
      </c>
      <c r="Y9" s="31"/>
      <c r="Z9" s="28"/>
      <c r="AA9" s="35"/>
    </row>
    <row r="10" spans="1:29" s="25" customFormat="1" ht="26.25" customHeight="1">
      <c r="A10" s="389" t="s">
        <v>90</v>
      </c>
      <c r="B10" s="390"/>
      <c r="C10" s="390"/>
      <c r="D10" s="390"/>
      <c r="E10" s="390"/>
      <c r="F10" s="390"/>
      <c r="G10" s="390"/>
      <c r="H10" s="37">
        <v>3.62</v>
      </c>
      <c r="I10" s="38">
        <v>3.6983333333333337</v>
      </c>
      <c r="J10" s="39"/>
      <c r="K10" s="40"/>
      <c r="L10" s="39"/>
      <c r="M10" s="41">
        <v>3.45</v>
      </c>
      <c r="N10" s="42">
        <v>3.43</v>
      </c>
      <c r="O10" s="39"/>
      <c r="P10" s="39"/>
      <c r="Q10" s="46"/>
      <c r="R10" s="44">
        <v>3.22</v>
      </c>
      <c r="S10" s="39">
        <v>3.436666666666667</v>
      </c>
      <c r="T10" s="39"/>
      <c r="U10" s="40"/>
      <c r="V10" s="39"/>
      <c r="W10" s="41">
        <v>3.13</v>
      </c>
      <c r="X10" s="45">
        <v>3.11</v>
      </c>
      <c r="Y10" s="43"/>
      <c r="Z10" s="39"/>
      <c r="AA10" s="46"/>
      <c r="AB10" s="47"/>
      <c r="AC10" s="47"/>
    </row>
    <row r="11" spans="1:29" s="25" customFormat="1" ht="26.25" customHeight="1">
      <c r="A11" s="389" t="s">
        <v>91</v>
      </c>
      <c r="B11" s="390"/>
      <c r="C11" s="390"/>
      <c r="D11" s="390"/>
      <c r="E11" s="390"/>
      <c r="F11" s="390"/>
      <c r="G11" s="390"/>
      <c r="H11" s="37">
        <v>1.91</v>
      </c>
      <c r="I11" s="38">
        <v>1.8125</v>
      </c>
      <c r="J11" s="39"/>
      <c r="K11" s="40"/>
      <c r="L11" s="39"/>
      <c r="M11" s="41">
        <v>1.68</v>
      </c>
      <c r="N11" s="45">
        <v>1.67</v>
      </c>
      <c r="O11" s="39"/>
      <c r="P11" s="39"/>
      <c r="Q11" s="46"/>
      <c r="R11" s="44">
        <v>1.63</v>
      </c>
      <c r="S11" s="39">
        <v>1.6633333333333333</v>
      </c>
      <c r="T11" s="39"/>
      <c r="U11" s="40"/>
      <c r="V11" s="39"/>
      <c r="W11" s="41">
        <v>1.39</v>
      </c>
      <c r="X11" s="42">
        <v>1.37</v>
      </c>
      <c r="Y11" s="43"/>
      <c r="Z11" s="39"/>
      <c r="AA11" s="46"/>
      <c r="AB11" s="47"/>
      <c r="AC11" s="47"/>
    </row>
    <row r="12" spans="1:27" s="25" customFormat="1" ht="26.25" customHeight="1">
      <c r="A12" s="387" t="s">
        <v>14</v>
      </c>
      <c r="B12" s="388"/>
      <c r="C12" s="388"/>
      <c r="D12" s="388"/>
      <c r="E12" s="388"/>
      <c r="F12" s="388"/>
      <c r="G12" s="388"/>
      <c r="H12" s="49">
        <v>48.3</v>
      </c>
      <c r="I12" s="50">
        <v>50.133333333333326</v>
      </c>
      <c r="J12" s="51"/>
      <c r="K12" s="52"/>
      <c r="L12" s="51"/>
      <c r="M12" s="53">
        <v>47.4</v>
      </c>
      <c r="N12" s="54">
        <v>47.1</v>
      </c>
      <c r="O12" s="51"/>
      <c r="P12" s="51"/>
      <c r="Q12" s="62"/>
      <c r="R12" s="56">
        <v>56.6</v>
      </c>
      <c r="S12" s="57">
        <v>57.658333333333324</v>
      </c>
      <c r="T12" s="58"/>
      <c r="U12" s="59"/>
      <c r="V12" s="58"/>
      <c r="W12" s="60">
        <v>55.7</v>
      </c>
      <c r="X12" s="61">
        <v>55.8</v>
      </c>
      <c r="Y12" s="55"/>
      <c r="Z12" s="51"/>
      <c r="AA12" s="62"/>
    </row>
    <row r="13" spans="1:27" s="25" customFormat="1" ht="26.25" customHeight="1">
      <c r="A13" s="63" t="s">
        <v>128</v>
      </c>
      <c r="B13" s="64"/>
      <c r="C13" s="64"/>
      <c r="D13" s="64"/>
      <c r="E13" s="64"/>
      <c r="F13" s="64"/>
      <c r="G13" s="64"/>
      <c r="H13" s="65">
        <v>984429</v>
      </c>
      <c r="I13" s="66">
        <v>997255.4166666666</v>
      </c>
      <c r="J13" s="67" t="s">
        <v>92</v>
      </c>
      <c r="K13" s="68">
        <f aca="true" t="shared" si="0" ref="K13:K20">ROUND((I13-H13)/H13*100,1)</f>
        <v>1.3</v>
      </c>
      <c r="L13" s="69" t="s">
        <v>92</v>
      </c>
      <c r="M13" s="70">
        <v>1007864</v>
      </c>
      <c r="N13" s="27">
        <v>986493</v>
      </c>
      <c r="O13" s="67" t="s">
        <v>92</v>
      </c>
      <c r="P13" s="72">
        <f aca="true" t="shared" si="1" ref="P13:P20">ROUND((N13-M13)/M13*100,1)</f>
        <v>-2.1</v>
      </c>
      <c r="Q13" s="77" t="s">
        <v>92</v>
      </c>
      <c r="R13" s="73"/>
      <c r="S13" s="74"/>
      <c r="T13" s="74"/>
      <c r="U13" s="75"/>
      <c r="V13" s="74"/>
      <c r="W13" s="65"/>
      <c r="X13" s="74"/>
      <c r="Y13" s="71"/>
      <c r="Z13" s="76"/>
      <c r="AA13" s="77"/>
    </row>
    <row r="14" spans="1:27" s="25" customFormat="1" ht="26.25" customHeight="1">
      <c r="A14" s="78"/>
      <c r="B14" s="79" t="s">
        <v>15</v>
      </c>
      <c r="C14" s="80"/>
      <c r="D14" s="80"/>
      <c r="E14" s="80"/>
      <c r="F14" s="80"/>
      <c r="G14" s="80"/>
      <c r="H14" s="81">
        <v>562723</v>
      </c>
      <c r="I14" s="82">
        <v>551856</v>
      </c>
      <c r="J14" s="83">
        <v>100</v>
      </c>
      <c r="K14" s="84">
        <f>ROUND((I14-H14)/H14*100,1)</f>
        <v>-1.9</v>
      </c>
      <c r="L14" s="87">
        <f>ROUND(((100+K14)/(100-1.1)-1)*100,1)</f>
        <v>-0.8</v>
      </c>
      <c r="M14" s="85">
        <v>534235</v>
      </c>
      <c r="N14" s="82">
        <v>518226</v>
      </c>
      <c r="O14" s="83">
        <v>100</v>
      </c>
      <c r="P14" s="87">
        <f t="shared" si="1"/>
        <v>-3</v>
      </c>
      <c r="Q14" s="301">
        <f>ROUND(((100+P14)/(100-1.5)-1)*100,1)</f>
        <v>-1.5</v>
      </c>
      <c r="R14" s="88"/>
      <c r="S14" s="89"/>
      <c r="T14" s="89"/>
      <c r="U14" s="90"/>
      <c r="V14" s="89"/>
      <c r="W14" s="81"/>
      <c r="X14" s="89"/>
      <c r="Y14" s="86"/>
      <c r="Z14" s="91"/>
      <c r="AA14" s="92"/>
    </row>
    <row r="15" spans="1:27" s="25" customFormat="1" ht="26.25" customHeight="1">
      <c r="A15" s="78"/>
      <c r="B15" s="6"/>
      <c r="C15" s="93" t="s">
        <v>16</v>
      </c>
      <c r="D15" s="6"/>
      <c r="E15" s="6"/>
      <c r="F15" s="6"/>
      <c r="G15" s="6"/>
      <c r="H15" s="81">
        <v>554794</v>
      </c>
      <c r="I15" s="82">
        <v>534962.8333333334</v>
      </c>
      <c r="J15" s="94">
        <f>ROUND(I15/I$14*100,1)</f>
        <v>96.9</v>
      </c>
      <c r="K15" s="84">
        <f t="shared" si="0"/>
        <v>-3.6</v>
      </c>
      <c r="L15" s="87">
        <f aca="true" t="shared" si="2" ref="L15:L22">ROUND(((100+K15)/(100-1.1)-1)*100,1)</f>
        <v>-2.5</v>
      </c>
      <c r="M15" s="85">
        <v>525414</v>
      </c>
      <c r="N15" s="34">
        <v>507574</v>
      </c>
      <c r="O15" s="83">
        <f aca="true" t="shared" si="3" ref="O15:O23">ROUND(N15/N$14*100,1)</f>
        <v>97.9</v>
      </c>
      <c r="P15" s="87">
        <f t="shared" si="1"/>
        <v>-3.4</v>
      </c>
      <c r="Q15" s="301">
        <f aca="true" t="shared" si="4" ref="Q15:Q23">ROUND(((100+P15)/(100-1.5)-1)*100,1)</f>
        <v>-1.9</v>
      </c>
      <c r="R15" s="88"/>
      <c r="S15" s="89"/>
      <c r="T15" s="89"/>
      <c r="U15" s="90"/>
      <c r="V15" s="89"/>
      <c r="W15" s="81"/>
      <c r="X15" s="89"/>
      <c r="Y15" s="86"/>
      <c r="Z15" s="91"/>
      <c r="AA15" s="92"/>
    </row>
    <row r="16" spans="1:27" s="25" customFormat="1" ht="26.25" customHeight="1">
      <c r="A16" s="78"/>
      <c r="B16" s="6"/>
      <c r="C16" s="95"/>
      <c r="D16" s="93" t="s">
        <v>17</v>
      </c>
      <c r="E16" s="96"/>
      <c r="F16" s="80"/>
      <c r="G16" s="80"/>
      <c r="H16" s="81">
        <v>501684</v>
      </c>
      <c r="I16" s="82">
        <v>485485.8333333333</v>
      </c>
      <c r="J16" s="94">
        <f>ROUND(I16/I$14*100,1)</f>
        <v>88</v>
      </c>
      <c r="K16" s="84">
        <f t="shared" si="0"/>
        <v>-3.2</v>
      </c>
      <c r="L16" s="87">
        <f t="shared" si="2"/>
        <v>-2.1</v>
      </c>
      <c r="M16" s="85">
        <v>500738</v>
      </c>
      <c r="N16" s="82">
        <v>484940</v>
      </c>
      <c r="O16" s="83">
        <f t="shared" si="3"/>
        <v>93.6</v>
      </c>
      <c r="P16" s="87">
        <f t="shared" si="1"/>
        <v>-3.2</v>
      </c>
      <c r="Q16" s="301">
        <f t="shared" si="4"/>
        <v>-1.7</v>
      </c>
      <c r="R16" s="88"/>
      <c r="S16" s="89"/>
      <c r="T16" s="89"/>
      <c r="U16" s="90"/>
      <c r="V16" s="89"/>
      <c r="W16" s="81"/>
      <c r="X16" s="89"/>
      <c r="Y16" s="86"/>
      <c r="Z16" s="91"/>
      <c r="AA16" s="92"/>
    </row>
    <row r="17" spans="1:31" s="25" customFormat="1" ht="26.25" customHeight="1">
      <c r="A17" s="78"/>
      <c r="B17" s="6"/>
      <c r="C17" s="95"/>
      <c r="D17" s="95"/>
      <c r="E17" s="97"/>
      <c r="F17" s="98" t="s">
        <v>18</v>
      </c>
      <c r="G17" s="6"/>
      <c r="H17" s="99">
        <v>373695</v>
      </c>
      <c r="I17" s="100">
        <v>357514.6666666667</v>
      </c>
      <c r="J17" s="101">
        <f aca="true" t="shared" si="5" ref="J17:J23">ROUND(I17/I$14*100,1)</f>
        <v>64.8</v>
      </c>
      <c r="K17" s="102">
        <f t="shared" si="0"/>
        <v>-4.3</v>
      </c>
      <c r="L17" s="105">
        <f t="shared" si="2"/>
        <v>-3.2</v>
      </c>
      <c r="M17" s="103">
        <v>434066</v>
      </c>
      <c r="N17" s="100">
        <v>419269</v>
      </c>
      <c r="O17" s="57">
        <f t="shared" si="3"/>
        <v>80.9</v>
      </c>
      <c r="P17" s="105">
        <f t="shared" si="1"/>
        <v>-3.4</v>
      </c>
      <c r="Q17" s="302">
        <f t="shared" si="4"/>
        <v>-1.9</v>
      </c>
      <c r="R17" s="106"/>
      <c r="S17" s="58"/>
      <c r="T17" s="58"/>
      <c r="U17" s="59"/>
      <c r="V17" s="58"/>
      <c r="W17" s="99"/>
      <c r="X17" s="58"/>
      <c r="Y17" s="104"/>
      <c r="Z17" s="107"/>
      <c r="AA17" s="108"/>
      <c r="AB17" s="11"/>
      <c r="AC17" s="11"/>
      <c r="AD17" s="11"/>
      <c r="AE17" s="11"/>
    </row>
    <row r="18" spans="1:28" s="25" customFormat="1" ht="26.25" customHeight="1">
      <c r="A18" s="78"/>
      <c r="B18" s="6"/>
      <c r="C18" s="95"/>
      <c r="D18" s="95"/>
      <c r="E18" s="6"/>
      <c r="F18" s="98" t="s">
        <v>19</v>
      </c>
      <c r="G18" s="6"/>
      <c r="H18" s="109">
        <v>91362</v>
      </c>
      <c r="I18" s="110">
        <v>85324.25</v>
      </c>
      <c r="J18" s="111">
        <f t="shared" si="5"/>
        <v>15.5</v>
      </c>
      <c r="K18" s="112">
        <f t="shared" si="0"/>
        <v>-6.6</v>
      </c>
      <c r="L18" s="330">
        <f t="shared" si="2"/>
        <v>-5.6</v>
      </c>
      <c r="M18" s="113">
        <v>55742</v>
      </c>
      <c r="N18" s="34">
        <v>56517</v>
      </c>
      <c r="O18" s="318">
        <f t="shared" si="3"/>
        <v>10.9</v>
      </c>
      <c r="P18" s="115">
        <f t="shared" si="1"/>
        <v>1.4</v>
      </c>
      <c r="Q18" s="303">
        <f t="shared" si="4"/>
        <v>2.9</v>
      </c>
      <c r="R18" s="116"/>
      <c r="S18" s="117"/>
      <c r="T18" s="117"/>
      <c r="U18" s="118"/>
      <c r="V18" s="117"/>
      <c r="W18" s="109"/>
      <c r="X18" s="117"/>
      <c r="Y18" s="114"/>
      <c r="Z18" s="119"/>
      <c r="AA18" s="120"/>
      <c r="AB18" s="11"/>
    </row>
    <row r="19" spans="1:27" s="25" customFormat="1" ht="26.25" customHeight="1">
      <c r="A19" s="78"/>
      <c r="B19" s="6"/>
      <c r="C19" s="95"/>
      <c r="D19" s="121"/>
      <c r="E19" s="6"/>
      <c r="F19" s="98" t="s">
        <v>20</v>
      </c>
      <c r="G19" s="6"/>
      <c r="H19" s="26">
        <v>36628</v>
      </c>
      <c r="I19" s="66">
        <v>42647</v>
      </c>
      <c r="J19" s="122">
        <f t="shared" si="5"/>
        <v>7.7</v>
      </c>
      <c r="K19" s="123">
        <f>ROUND((I19-H19)/H19*100,1)</f>
        <v>16.4</v>
      </c>
      <c r="L19" s="330">
        <f t="shared" si="2"/>
        <v>17.7</v>
      </c>
      <c r="M19" s="70">
        <v>10930</v>
      </c>
      <c r="N19" s="34">
        <v>9153</v>
      </c>
      <c r="O19" s="319">
        <f t="shared" si="3"/>
        <v>1.8</v>
      </c>
      <c r="P19" s="125">
        <f t="shared" si="1"/>
        <v>-16.3</v>
      </c>
      <c r="Q19" s="300">
        <f t="shared" si="4"/>
        <v>-15</v>
      </c>
      <c r="R19" s="32"/>
      <c r="S19" s="28"/>
      <c r="T19" s="28"/>
      <c r="U19" s="29"/>
      <c r="V19" s="28"/>
      <c r="W19" s="26"/>
      <c r="X19" s="28"/>
      <c r="Y19" s="124"/>
      <c r="Z19" s="126"/>
      <c r="AA19" s="127"/>
    </row>
    <row r="20" spans="1:27" s="25" customFormat="1" ht="26.25" customHeight="1">
      <c r="A20" s="78"/>
      <c r="B20" s="6"/>
      <c r="C20" s="128"/>
      <c r="D20" s="129" t="s">
        <v>21</v>
      </c>
      <c r="E20" s="130"/>
      <c r="F20" s="80"/>
      <c r="G20" s="80"/>
      <c r="H20" s="81">
        <v>986</v>
      </c>
      <c r="I20" s="82">
        <v>1399.3333333333333</v>
      </c>
      <c r="J20" s="94">
        <f>ROUND(I20/I$14*100,1)</f>
        <v>0.3</v>
      </c>
      <c r="K20" s="112">
        <f t="shared" si="0"/>
        <v>41.9</v>
      </c>
      <c r="L20" s="331">
        <f t="shared" si="2"/>
        <v>43.5</v>
      </c>
      <c r="M20" s="85">
        <v>2661</v>
      </c>
      <c r="N20" s="82">
        <v>2438</v>
      </c>
      <c r="O20" s="83">
        <f t="shared" si="3"/>
        <v>0.5</v>
      </c>
      <c r="P20" s="115">
        <f t="shared" si="1"/>
        <v>-8.4</v>
      </c>
      <c r="Q20" s="301">
        <f t="shared" si="4"/>
        <v>-7</v>
      </c>
      <c r="R20" s="88"/>
      <c r="S20" s="89"/>
      <c r="T20" s="89"/>
      <c r="U20" s="90"/>
      <c r="V20" s="89"/>
      <c r="W20" s="81"/>
      <c r="X20" s="89"/>
      <c r="Y20" s="86"/>
      <c r="Z20" s="91"/>
      <c r="AA20" s="92"/>
    </row>
    <row r="21" spans="1:29" s="25" customFormat="1" ht="26.25" customHeight="1">
      <c r="A21" s="78"/>
      <c r="B21" s="6"/>
      <c r="C21" s="128"/>
      <c r="D21" s="129" t="s">
        <v>22</v>
      </c>
      <c r="E21" s="130"/>
      <c r="F21" s="80"/>
      <c r="G21" s="80"/>
      <c r="H21" s="81">
        <v>1230</v>
      </c>
      <c r="I21" s="82">
        <v>0</v>
      </c>
      <c r="J21" s="94">
        <f t="shared" si="5"/>
        <v>0</v>
      </c>
      <c r="K21" s="328" t="s">
        <v>132</v>
      </c>
      <c r="L21" s="312" t="s">
        <v>132</v>
      </c>
      <c r="M21" s="85">
        <v>118</v>
      </c>
      <c r="N21" s="82">
        <v>10</v>
      </c>
      <c r="O21" s="83">
        <f t="shared" si="3"/>
        <v>0</v>
      </c>
      <c r="P21" s="105">
        <f>ROUND((N21-M21)/M21*100,1)</f>
        <v>-91.5</v>
      </c>
      <c r="Q21" s="301">
        <f t="shared" si="4"/>
        <v>-91.4</v>
      </c>
      <c r="R21" s="88"/>
      <c r="S21" s="89"/>
      <c r="T21" s="89"/>
      <c r="U21" s="90"/>
      <c r="V21" s="89"/>
      <c r="W21" s="81"/>
      <c r="X21" s="89"/>
      <c r="Y21" s="86"/>
      <c r="Z21" s="91"/>
      <c r="AA21" s="92"/>
      <c r="AC21" s="11"/>
    </row>
    <row r="22" spans="1:27" s="25" customFormat="1" ht="26.25" customHeight="1">
      <c r="A22" s="78"/>
      <c r="B22" s="6"/>
      <c r="C22" s="121"/>
      <c r="D22" s="129" t="s">
        <v>23</v>
      </c>
      <c r="E22" s="130"/>
      <c r="F22" s="80"/>
      <c r="G22" s="80"/>
      <c r="H22" s="81">
        <v>50893</v>
      </c>
      <c r="I22" s="82">
        <v>48077</v>
      </c>
      <c r="J22" s="94">
        <f t="shared" si="5"/>
        <v>8.7</v>
      </c>
      <c r="K22" s="102">
        <f aca="true" t="shared" si="6" ref="K22:K38">ROUND((I22-H22)/H22*100,1)</f>
        <v>-5.5</v>
      </c>
      <c r="L22" s="87">
        <f t="shared" si="2"/>
        <v>-4.4</v>
      </c>
      <c r="M22" s="85">
        <v>21897</v>
      </c>
      <c r="N22" s="34">
        <v>20187</v>
      </c>
      <c r="O22" s="83">
        <f t="shared" si="3"/>
        <v>3.9</v>
      </c>
      <c r="P22" s="105">
        <f aca="true" t="shared" si="7" ref="P22:P38">ROUND((N22-M22)/M22*100,1)</f>
        <v>-7.8</v>
      </c>
      <c r="Q22" s="301">
        <f t="shared" si="4"/>
        <v>-6.4</v>
      </c>
      <c r="R22" s="88"/>
      <c r="S22" s="89"/>
      <c r="T22" s="89"/>
      <c r="U22" s="90"/>
      <c r="V22" s="89"/>
      <c r="W22" s="81"/>
      <c r="X22" s="89"/>
      <c r="Y22" s="86"/>
      <c r="Z22" s="91"/>
      <c r="AA22" s="92"/>
    </row>
    <row r="23" spans="1:28" s="25" customFormat="1" ht="26.25" customHeight="1">
      <c r="A23" s="78"/>
      <c r="B23" s="6"/>
      <c r="C23" s="131" t="s">
        <v>24</v>
      </c>
      <c r="D23" s="132"/>
      <c r="E23" s="80"/>
      <c r="F23" s="80"/>
      <c r="G23" s="80"/>
      <c r="H23" s="81">
        <v>7929</v>
      </c>
      <c r="I23" s="82">
        <v>16892.75</v>
      </c>
      <c r="J23" s="94">
        <f t="shared" si="5"/>
        <v>3.1</v>
      </c>
      <c r="K23" s="102">
        <f t="shared" si="6"/>
        <v>113.1</v>
      </c>
      <c r="L23" s="87">
        <f>ROUND(((100+K23)/(100-1.1)-1)*100,1)</f>
        <v>115.5</v>
      </c>
      <c r="M23" s="85">
        <v>8820</v>
      </c>
      <c r="N23" s="100">
        <v>10652</v>
      </c>
      <c r="O23" s="83">
        <f t="shared" si="3"/>
        <v>2.1</v>
      </c>
      <c r="P23" s="105">
        <f t="shared" si="7"/>
        <v>20.8</v>
      </c>
      <c r="Q23" s="301">
        <f t="shared" si="4"/>
        <v>22.6</v>
      </c>
      <c r="R23" s="88"/>
      <c r="S23" s="89"/>
      <c r="T23" s="89"/>
      <c r="U23" s="90"/>
      <c r="V23" s="89"/>
      <c r="W23" s="81"/>
      <c r="X23" s="89"/>
      <c r="Y23" s="86"/>
      <c r="Z23" s="91"/>
      <c r="AA23" s="92"/>
      <c r="AB23" s="11"/>
    </row>
    <row r="24" spans="1:28" s="25" customFormat="1" ht="26.25" customHeight="1">
      <c r="A24" s="78"/>
      <c r="B24" s="129" t="s">
        <v>129</v>
      </c>
      <c r="C24" s="133"/>
      <c r="D24" s="132"/>
      <c r="E24" s="80"/>
      <c r="F24" s="80"/>
      <c r="G24" s="80"/>
      <c r="H24" s="81">
        <v>365045</v>
      </c>
      <c r="I24" s="82">
        <v>383623.75</v>
      </c>
      <c r="J24" s="134" t="s">
        <v>127</v>
      </c>
      <c r="K24" s="84">
        <f t="shared" si="6"/>
        <v>5.1</v>
      </c>
      <c r="L24" s="312" t="s">
        <v>132</v>
      </c>
      <c r="M24" s="85">
        <v>403989</v>
      </c>
      <c r="N24" s="100">
        <v>401961</v>
      </c>
      <c r="O24" s="134" t="s">
        <v>132</v>
      </c>
      <c r="P24" s="87">
        <f t="shared" si="7"/>
        <v>-0.5</v>
      </c>
      <c r="Q24" s="316" t="s">
        <v>132</v>
      </c>
      <c r="R24" s="88"/>
      <c r="S24" s="89"/>
      <c r="T24" s="89"/>
      <c r="U24" s="90"/>
      <c r="V24" s="89"/>
      <c r="W24" s="81"/>
      <c r="X24" s="89"/>
      <c r="Y24" s="135"/>
      <c r="Z24" s="91"/>
      <c r="AA24" s="92"/>
      <c r="AB24" s="11"/>
    </row>
    <row r="25" spans="1:27" s="25" customFormat="1" ht="26.25" customHeight="1">
      <c r="A25" s="136"/>
      <c r="B25" s="137" t="s">
        <v>25</v>
      </c>
      <c r="C25" s="22"/>
      <c r="D25" s="138"/>
      <c r="E25" s="139"/>
      <c r="F25" s="139"/>
      <c r="G25" s="139"/>
      <c r="H25" s="140">
        <v>56661</v>
      </c>
      <c r="I25" s="141">
        <v>61776.166666666664</v>
      </c>
      <c r="J25" s="142" t="s">
        <v>127</v>
      </c>
      <c r="K25" s="143">
        <f t="shared" si="6"/>
        <v>9</v>
      </c>
      <c r="L25" s="313" t="s">
        <v>132</v>
      </c>
      <c r="M25" s="144">
        <v>69641</v>
      </c>
      <c r="N25" s="141">
        <v>66305</v>
      </c>
      <c r="O25" s="142" t="s">
        <v>132</v>
      </c>
      <c r="P25" s="146">
        <f t="shared" si="7"/>
        <v>-4.8</v>
      </c>
      <c r="Q25" s="317" t="s">
        <v>132</v>
      </c>
      <c r="R25" s="147"/>
      <c r="S25" s="148"/>
      <c r="T25" s="148"/>
      <c r="U25" s="149"/>
      <c r="V25" s="148"/>
      <c r="W25" s="140"/>
      <c r="X25" s="148"/>
      <c r="Y25" s="145"/>
      <c r="Z25" s="150"/>
      <c r="AA25" s="151"/>
    </row>
    <row r="26" spans="1:27" s="25" customFormat="1" ht="26.25" customHeight="1">
      <c r="A26" s="152" t="s">
        <v>130</v>
      </c>
      <c r="B26" s="6"/>
      <c r="C26" s="6"/>
      <c r="D26" s="153"/>
      <c r="E26" s="154"/>
      <c r="F26" s="154"/>
      <c r="G26" s="154"/>
      <c r="H26" s="26">
        <v>984429</v>
      </c>
      <c r="I26" s="66">
        <v>997255.4166666666</v>
      </c>
      <c r="J26" s="155" t="s">
        <v>127</v>
      </c>
      <c r="K26" s="112">
        <f t="shared" si="6"/>
        <v>1.3</v>
      </c>
      <c r="L26" s="311" t="s">
        <v>132</v>
      </c>
      <c r="M26" s="70">
        <v>1007864</v>
      </c>
      <c r="N26" s="66">
        <v>986493</v>
      </c>
      <c r="O26" s="155" t="s">
        <v>132</v>
      </c>
      <c r="P26" s="115">
        <f t="shared" si="7"/>
        <v>-2.1</v>
      </c>
      <c r="Q26" s="315" t="s">
        <v>132</v>
      </c>
      <c r="R26" s="32"/>
      <c r="S26" s="28"/>
      <c r="T26" s="155"/>
      <c r="U26" s="157"/>
      <c r="V26" s="126"/>
      <c r="W26" s="26"/>
      <c r="X26" s="28"/>
      <c r="Y26" s="156"/>
      <c r="Z26" s="126"/>
      <c r="AA26" s="127"/>
    </row>
    <row r="27" spans="1:27" s="25" customFormat="1" ht="26.25" customHeight="1">
      <c r="A27" s="78"/>
      <c r="B27" s="93" t="s">
        <v>26</v>
      </c>
      <c r="C27" s="133"/>
      <c r="D27" s="132"/>
      <c r="E27" s="80"/>
      <c r="F27" s="80"/>
      <c r="G27" s="80"/>
      <c r="H27" s="81">
        <v>424630</v>
      </c>
      <c r="I27" s="82">
        <v>415584.75</v>
      </c>
      <c r="J27" s="134" t="s">
        <v>132</v>
      </c>
      <c r="K27" s="102">
        <f t="shared" si="6"/>
        <v>-2.1</v>
      </c>
      <c r="L27" s="312" t="s">
        <v>132</v>
      </c>
      <c r="M27" s="85">
        <v>416415</v>
      </c>
      <c r="N27" s="82">
        <v>409374</v>
      </c>
      <c r="O27" s="134" t="s">
        <v>132</v>
      </c>
      <c r="P27" s="105">
        <f t="shared" si="7"/>
        <v>-1.7</v>
      </c>
      <c r="Q27" s="316" t="s">
        <v>132</v>
      </c>
      <c r="R27" s="88"/>
      <c r="S27" s="89"/>
      <c r="T27" s="134"/>
      <c r="U27" s="158"/>
      <c r="V27" s="91"/>
      <c r="W27" s="81"/>
      <c r="X27" s="89"/>
      <c r="Y27" s="135"/>
      <c r="Z27" s="91"/>
      <c r="AA27" s="92"/>
    </row>
    <row r="28" spans="1:27" s="25" customFormat="1" ht="26.25" customHeight="1">
      <c r="A28" s="159" t="s">
        <v>2</v>
      </c>
      <c r="B28" s="160"/>
      <c r="C28" s="11" t="s">
        <v>27</v>
      </c>
      <c r="D28" s="161"/>
      <c r="E28" s="162"/>
      <c r="F28" s="36"/>
      <c r="G28" s="36"/>
      <c r="H28" s="81">
        <v>337713</v>
      </c>
      <c r="I28" s="82">
        <v>334120.25</v>
      </c>
      <c r="J28" s="83">
        <v>100</v>
      </c>
      <c r="K28" s="102">
        <f t="shared" si="6"/>
        <v>-1.1</v>
      </c>
      <c r="L28" s="87">
        <f>ROUND(((100+K28)/(100-1.1)-1)*100,1)</f>
        <v>0</v>
      </c>
      <c r="M28" s="85">
        <v>324929</v>
      </c>
      <c r="N28" s="34">
        <v>319060</v>
      </c>
      <c r="O28" s="83">
        <v>100</v>
      </c>
      <c r="P28" s="105">
        <f t="shared" si="7"/>
        <v>-1.8</v>
      </c>
      <c r="Q28" s="301">
        <f>ROUND(((100+P28)/(100-1.5)-1)*100,1)</f>
        <v>-0.3</v>
      </c>
      <c r="R28" s="88">
        <v>315973</v>
      </c>
      <c r="S28" s="89">
        <v>309121.5833333333</v>
      </c>
      <c r="T28" s="83">
        <v>100</v>
      </c>
      <c r="U28" s="84">
        <f aca="true" t="shared" si="8" ref="U28:U38">ROUND((S28-R28)/R28*100,1)</f>
        <v>-2.2</v>
      </c>
      <c r="V28" s="331">
        <f>ROUND(((100+U28)/(100-1.1)-1)*100,1)</f>
        <v>-1.1</v>
      </c>
      <c r="W28" s="163">
        <v>296932</v>
      </c>
      <c r="X28" s="82">
        <v>291737</v>
      </c>
      <c r="Y28" s="86">
        <v>100</v>
      </c>
      <c r="Z28" s="87">
        <f aca="true" t="shared" si="9" ref="Z28:Z38">ROUND((X28-W28)/W28*100,1)</f>
        <v>-1.7</v>
      </c>
      <c r="AA28" s="301">
        <f>ROUND(((100+Z28)/(100-1.5)-1)*100,1)</f>
        <v>-0.2</v>
      </c>
    </row>
    <row r="29" spans="1:27" s="25" customFormat="1" ht="26.25" customHeight="1">
      <c r="A29" s="159"/>
      <c r="B29" s="160" t="s">
        <v>2</v>
      </c>
      <c r="C29" s="11"/>
      <c r="D29" s="164" t="s">
        <v>28</v>
      </c>
      <c r="E29" s="165"/>
      <c r="F29" s="36"/>
      <c r="G29" s="36"/>
      <c r="H29" s="81">
        <v>72798</v>
      </c>
      <c r="I29" s="82">
        <v>73715.33333333333</v>
      </c>
      <c r="J29" s="94">
        <f aca="true" t="shared" si="10" ref="J29:J38">ROUND(I29/I$28*100,1)</f>
        <v>22.1</v>
      </c>
      <c r="K29" s="102">
        <f t="shared" si="6"/>
        <v>1.3</v>
      </c>
      <c r="L29" s="87">
        <f>ROUND(((100+K29)/(100+0.7)-1)*100,1)</f>
        <v>0.6</v>
      </c>
      <c r="M29" s="85">
        <v>71051</v>
      </c>
      <c r="N29" s="82">
        <v>70134</v>
      </c>
      <c r="O29" s="83">
        <f aca="true" t="shared" si="11" ref="O29:O35">ROUND(N29/N$28*100,1)</f>
        <v>22</v>
      </c>
      <c r="P29" s="105">
        <f t="shared" si="7"/>
        <v>-1.3</v>
      </c>
      <c r="Q29" s="301">
        <f>ROUND(((100+P29)/(100+0.2)-1)*100,1)</f>
        <v>-1.5</v>
      </c>
      <c r="R29" s="88">
        <v>71648</v>
      </c>
      <c r="S29" s="89">
        <v>73210.83333333333</v>
      </c>
      <c r="T29" s="94">
        <f aca="true" t="shared" si="12" ref="T29:T35">ROUND(S29/S$28*100,1)</f>
        <v>23.7</v>
      </c>
      <c r="U29" s="84">
        <f t="shared" si="8"/>
        <v>2.2</v>
      </c>
      <c r="V29" s="331">
        <f>ROUND(((100+U29)/(100+0.7)-1)*100,1)</f>
        <v>1.5</v>
      </c>
      <c r="W29" s="163">
        <v>69001</v>
      </c>
      <c r="X29" s="34">
        <v>68322</v>
      </c>
      <c r="Y29" s="166">
        <f aca="true" t="shared" si="13" ref="Y29:Y35">ROUND(X29/X$28*100,1)</f>
        <v>23.4</v>
      </c>
      <c r="Z29" s="87">
        <f t="shared" si="9"/>
        <v>-1</v>
      </c>
      <c r="AA29" s="301">
        <f>ROUND(((100+Z29)/(100+0.2)-1)*100,1)</f>
        <v>-1.2</v>
      </c>
    </row>
    <row r="30" spans="1:27" s="25" customFormat="1" ht="26.25" customHeight="1">
      <c r="A30" s="159"/>
      <c r="B30" s="160"/>
      <c r="C30" s="11"/>
      <c r="D30" s="167"/>
      <c r="E30" s="164"/>
      <c r="F30" s="98" t="s">
        <v>93</v>
      </c>
      <c r="G30" s="168"/>
      <c r="H30" s="99">
        <v>6754</v>
      </c>
      <c r="I30" s="100">
        <v>6801.833333333333</v>
      </c>
      <c r="J30" s="101">
        <f t="shared" si="10"/>
        <v>2</v>
      </c>
      <c r="K30" s="102">
        <f t="shared" si="6"/>
        <v>0.7</v>
      </c>
      <c r="L30" s="105">
        <f>ROUND(((100+K30)/(100-0.5)-1)*100,1)</f>
        <v>1.2</v>
      </c>
      <c r="M30" s="103">
        <v>6683</v>
      </c>
      <c r="N30" s="34">
        <v>6717</v>
      </c>
      <c r="O30" s="57">
        <f t="shared" si="11"/>
        <v>2.1</v>
      </c>
      <c r="P30" s="105">
        <f t="shared" si="7"/>
        <v>0.5</v>
      </c>
      <c r="Q30" s="302">
        <f>ROUND(((100+P30)/(100+0.8)-1)*100,1)</f>
        <v>-0.3</v>
      </c>
      <c r="R30" s="106">
        <v>6470</v>
      </c>
      <c r="S30" s="58">
        <v>7043</v>
      </c>
      <c r="T30" s="101">
        <f t="shared" si="12"/>
        <v>2.3</v>
      </c>
      <c r="U30" s="102">
        <f t="shared" si="8"/>
        <v>8.9</v>
      </c>
      <c r="V30" s="332">
        <f>ROUND(((100+U30)/(100-0.5)-1)*100,1)</f>
        <v>9.4</v>
      </c>
      <c r="W30" s="169">
        <v>6582</v>
      </c>
      <c r="X30" s="100">
        <v>6631</v>
      </c>
      <c r="Y30" s="170">
        <f t="shared" si="13"/>
        <v>2.3</v>
      </c>
      <c r="Z30" s="105">
        <f t="shared" si="9"/>
        <v>0.7</v>
      </c>
      <c r="AA30" s="302">
        <f>ROUND(((100+Z30)/(100+0.8)-1)*100,1)</f>
        <v>-0.1</v>
      </c>
    </row>
    <row r="31" spans="1:28" s="25" customFormat="1" ht="26.25" customHeight="1">
      <c r="A31" s="159"/>
      <c r="B31" s="160"/>
      <c r="C31" s="11"/>
      <c r="D31" s="167"/>
      <c r="E31" s="167"/>
      <c r="F31" s="98" t="s">
        <v>94</v>
      </c>
      <c r="G31" s="6"/>
      <c r="H31" s="109">
        <v>5695</v>
      </c>
      <c r="I31" s="110">
        <v>6078</v>
      </c>
      <c r="J31" s="111">
        <f t="shared" si="10"/>
        <v>1.8</v>
      </c>
      <c r="K31" s="112">
        <f t="shared" si="6"/>
        <v>6.7</v>
      </c>
      <c r="L31" s="115">
        <f>ROUND(((100+K31)/(100-1.3)-1)*100,1)</f>
        <v>8.1</v>
      </c>
      <c r="M31" s="113">
        <v>5995</v>
      </c>
      <c r="N31" s="34">
        <v>5660</v>
      </c>
      <c r="O31" s="318">
        <f t="shared" si="11"/>
        <v>1.8</v>
      </c>
      <c r="P31" s="115">
        <f t="shared" si="7"/>
        <v>-5.6</v>
      </c>
      <c r="Q31" s="303">
        <f>ROUND(((100+P31)/(100-1)-1)*100,1)</f>
        <v>-4.6</v>
      </c>
      <c r="R31" s="116">
        <v>7149</v>
      </c>
      <c r="S31" s="117">
        <v>6940</v>
      </c>
      <c r="T31" s="111">
        <f t="shared" si="12"/>
        <v>2.2</v>
      </c>
      <c r="U31" s="115">
        <f t="shared" si="8"/>
        <v>-2.9</v>
      </c>
      <c r="V31" s="330">
        <f>ROUND(((100+U31)/(100-1.3)-1)*100,1)</f>
        <v>-1.6</v>
      </c>
      <c r="W31" s="171">
        <v>6891</v>
      </c>
      <c r="X31" s="34">
        <v>6678</v>
      </c>
      <c r="Y31" s="172">
        <f t="shared" si="13"/>
        <v>2.3</v>
      </c>
      <c r="Z31" s="115">
        <f t="shared" si="9"/>
        <v>-3.1</v>
      </c>
      <c r="AA31" s="303">
        <f>ROUND(((100+Z31)/(100-1)-1)*100,1)</f>
        <v>-2.1</v>
      </c>
      <c r="AB31" s="11"/>
    </row>
    <row r="32" spans="1:32" s="25" customFormat="1" ht="26.25" customHeight="1">
      <c r="A32" s="159"/>
      <c r="B32" s="160"/>
      <c r="C32" s="160"/>
      <c r="D32" s="167"/>
      <c r="E32" s="167"/>
      <c r="F32" s="98" t="s">
        <v>95</v>
      </c>
      <c r="G32" s="6"/>
      <c r="H32" s="109">
        <v>7321</v>
      </c>
      <c r="I32" s="110">
        <v>7466</v>
      </c>
      <c r="J32" s="111">
        <f t="shared" si="10"/>
        <v>2.2</v>
      </c>
      <c r="K32" s="112">
        <f t="shared" si="6"/>
        <v>2</v>
      </c>
      <c r="L32" s="115">
        <f>ROUND(((100+K32)/(100+2.1)-1)*100,1)</f>
        <v>-0.1</v>
      </c>
      <c r="M32" s="113">
        <v>6832</v>
      </c>
      <c r="N32" s="34">
        <v>6655</v>
      </c>
      <c r="O32" s="318">
        <f t="shared" si="11"/>
        <v>2.1</v>
      </c>
      <c r="P32" s="115">
        <f t="shared" si="7"/>
        <v>-2.6</v>
      </c>
      <c r="Q32" s="303">
        <f>ROUND(((100+P32)/(100-1.2)-1)*100,1)</f>
        <v>-1.4</v>
      </c>
      <c r="R32" s="116">
        <v>6766</v>
      </c>
      <c r="S32" s="117">
        <v>7203</v>
      </c>
      <c r="T32" s="111">
        <f t="shared" si="12"/>
        <v>2.3</v>
      </c>
      <c r="U32" s="112">
        <f>ROUND((S32-R32)/R32*100,1)</f>
        <v>6.5</v>
      </c>
      <c r="V32" s="330">
        <f>ROUND(((100+U32)/(100+2.1)-1)*100,1)</f>
        <v>4.3</v>
      </c>
      <c r="W32" s="171">
        <v>6511</v>
      </c>
      <c r="X32" s="34">
        <v>6343</v>
      </c>
      <c r="Y32" s="172">
        <f t="shared" si="13"/>
        <v>2.2</v>
      </c>
      <c r="Z32" s="115">
        <f t="shared" si="9"/>
        <v>-2.6</v>
      </c>
      <c r="AA32" s="303">
        <f>ROUND(((100+Z32)/(100-1.2)-1)*100,1)</f>
        <v>-1.4</v>
      </c>
      <c r="AB32" s="11"/>
      <c r="AC32" s="11"/>
      <c r="AD32" s="11"/>
      <c r="AE32" s="11"/>
      <c r="AF32" s="11"/>
    </row>
    <row r="33" spans="1:27" s="25" customFormat="1" ht="26.25" customHeight="1">
      <c r="A33" s="159"/>
      <c r="B33" s="160"/>
      <c r="C33" s="160"/>
      <c r="D33" s="11"/>
      <c r="E33" s="167"/>
      <c r="F33" s="98" t="s">
        <v>96</v>
      </c>
      <c r="G33" s="6"/>
      <c r="H33" s="109">
        <v>3207</v>
      </c>
      <c r="I33" s="110">
        <v>3790.4166666666665</v>
      </c>
      <c r="J33" s="111">
        <f t="shared" si="10"/>
        <v>1.1</v>
      </c>
      <c r="K33" s="112">
        <f t="shared" si="6"/>
        <v>18.2</v>
      </c>
      <c r="L33" s="115">
        <f>ROUND(((100+K33)/(100+5)-1)*100,1)</f>
        <v>12.6</v>
      </c>
      <c r="M33" s="113">
        <v>3336</v>
      </c>
      <c r="N33" s="34">
        <v>3304</v>
      </c>
      <c r="O33" s="318">
        <f t="shared" si="11"/>
        <v>1</v>
      </c>
      <c r="P33" s="115">
        <f t="shared" si="7"/>
        <v>-1</v>
      </c>
      <c r="Q33" s="303">
        <f>ROUND(((100+P33)/(100+1.3)-1)*100,1)</f>
        <v>-2.3</v>
      </c>
      <c r="R33" s="116">
        <v>3260</v>
      </c>
      <c r="S33" s="117">
        <v>3667.4166666666665</v>
      </c>
      <c r="T33" s="111">
        <f t="shared" si="12"/>
        <v>1.2</v>
      </c>
      <c r="U33" s="115">
        <f t="shared" si="8"/>
        <v>12.5</v>
      </c>
      <c r="V33" s="330">
        <f>ROUND(((100+U33)/(100+5)-1)*100,1)</f>
        <v>7.1</v>
      </c>
      <c r="W33" s="171">
        <v>3244</v>
      </c>
      <c r="X33" s="34">
        <v>3268</v>
      </c>
      <c r="Y33" s="172">
        <f t="shared" si="13"/>
        <v>1.1</v>
      </c>
      <c r="Z33" s="115">
        <f t="shared" si="9"/>
        <v>0.7</v>
      </c>
      <c r="AA33" s="303">
        <f>ROUND(((100+Z33)/(100+1.3)-1)*100,1)</f>
        <v>-0.6</v>
      </c>
    </row>
    <row r="34" spans="1:27" s="25" customFormat="1" ht="26.25" customHeight="1">
      <c r="A34" s="159"/>
      <c r="B34" s="160"/>
      <c r="C34" s="160"/>
      <c r="D34" s="11"/>
      <c r="E34" s="167"/>
      <c r="F34" s="98" t="s">
        <v>29</v>
      </c>
      <c r="G34" s="6"/>
      <c r="H34" s="109">
        <v>7744</v>
      </c>
      <c r="I34" s="110">
        <v>8463.916666666666</v>
      </c>
      <c r="J34" s="111">
        <f t="shared" si="10"/>
        <v>2.5</v>
      </c>
      <c r="K34" s="112">
        <f t="shared" si="6"/>
        <v>9.3</v>
      </c>
      <c r="L34" s="115">
        <f>ROUND(((100+K34)/(100-0.3)-1)*100,1)</f>
        <v>9.6</v>
      </c>
      <c r="M34" s="113">
        <v>7745</v>
      </c>
      <c r="N34" s="34">
        <v>7501</v>
      </c>
      <c r="O34" s="318">
        <f t="shared" si="11"/>
        <v>2.4</v>
      </c>
      <c r="P34" s="115">
        <f t="shared" si="7"/>
        <v>-3.2</v>
      </c>
      <c r="Q34" s="303">
        <f>ROUND(((100+P34)/(100-0.5)-1)*100,1)</f>
        <v>-2.7</v>
      </c>
      <c r="R34" s="116">
        <v>8475</v>
      </c>
      <c r="S34" s="117">
        <v>9210.083333333334</v>
      </c>
      <c r="T34" s="111">
        <f t="shared" si="12"/>
        <v>3</v>
      </c>
      <c r="U34" s="115">
        <f t="shared" si="8"/>
        <v>8.7</v>
      </c>
      <c r="V34" s="330">
        <f>ROUND(((100+U34)/(100-0.3)-1)*100,1)</f>
        <v>9</v>
      </c>
      <c r="W34" s="171">
        <v>8264</v>
      </c>
      <c r="X34" s="34">
        <v>8145</v>
      </c>
      <c r="Y34" s="172">
        <f t="shared" si="13"/>
        <v>2.8</v>
      </c>
      <c r="Z34" s="115">
        <f t="shared" si="9"/>
        <v>-1.4</v>
      </c>
      <c r="AA34" s="303">
        <f>ROUND(((100+Z34)/(100-0.5)-1)*100,1)</f>
        <v>-0.9</v>
      </c>
    </row>
    <row r="35" spans="1:32" s="25" customFormat="1" ht="26.25" customHeight="1">
      <c r="A35" s="159"/>
      <c r="B35" s="160"/>
      <c r="C35" s="160"/>
      <c r="D35" s="11"/>
      <c r="E35" s="167"/>
      <c r="F35" s="98" t="s">
        <v>30</v>
      </c>
      <c r="G35" s="6"/>
      <c r="H35" s="109">
        <v>2198</v>
      </c>
      <c r="I35" s="110">
        <v>2416.6666666666665</v>
      </c>
      <c r="J35" s="111">
        <f t="shared" si="10"/>
        <v>0.7</v>
      </c>
      <c r="K35" s="112">
        <f t="shared" si="6"/>
        <v>9.9</v>
      </c>
      <c r="L35" s="115">
        <f>ROUND(((100+K35)/(100-3.8)-1)*100,1)</f>
        <v>14.2</v>
      </c>
      <c r="M35" s="113">
        <v>2214</v>
      </c>
      <c r="N35" s="34">
        <v>2122</v>
      </c>
      <c r="O35" s="318">
        <f t="shared" si="11"/>
        <v>0.7</v>
      </c>
      <c r="P35" s="115">
        <f t="shared" si="7"/>
        <v>-4.2</v>
      </c>
      <c r="Q35" s="303">
        <f>ROUND(((100+P35)/(100-3.3)-1)*100,1)</f>
        <v>-0.9</v>
      </c>
      <c r="R35" s="116">
        <v>2543</v>
      </c>
      <c r="S35" s="117">
        <v>2774.75</v>
      </c>
      <c r="T35" s="111">
        <f t="shared" si="12"/>
        <v>0.9</v>
      </c>
      <c r="U35" s="112">
        <f t="shared" si="8"/>
        <v>9.1</v>
      </c>
      <c r="V35" s="330">
        <f>ROUND(((100+U35)/(100-3.8)-1)*100,1)</f>
        <v>13.4</v>
      </c>
      <c r="W35" s="171">
        <v>2624</v>
      </c>
      <c r="X35" s="34">
        <v>2564</v>
      </c>
      <c r="Y35" s="172">
        <f t="shared" si="13"/>
        <v>0.9</v>
      </c>
      <c r="Z35" s="115">
        <f t="shared" si="9"/>
        <v>-2.3</v>
      </c>
      <c r="AA35" s="303">
        <f>ROUND(((100+Z35)/(100-3.3)-1)*100,1)</f>
        <v>1</v>
      </c>
      <c r="AB35" s="11"/>
      <c r="AC35" s="11"/>
      <c r="AD35" s="11"/>
      <c r="AE35" s="11"/>
      <c r="AF35" s="11"/>
    </row>
    <row r="36" spans="1:30" s="25" customFormat="1" ht="26.25" customHeight="1">
      <c r="A36" s="159"/>
      <c r="B36" s="160"/>
      <c r="C36" s="160"/>
      <c r="D36" s="11"/>
      <c r="E36" s="167"/>
      <c r="F36" s="98" t="s">
        <v>31</v>
      </c>
      <c r="G36" s="6"/>
      <c r="H36" s="109">
        <v>3306</v>
      </c>
      <c r="I36" s="110">
        <v>3304.75</v>
      </c>
      <c r="J36" s="111">
        <f t="shared" si="10"/>
        <v>1</v>
      </c>
      <c r="K36" s="112">
        <f t="shared" si="6"/>
        <v>0</v>
      </c>
      <c r="L36" s="115">
        <f>ROUND(((100+K36)/(100+0.2)-1)*100,1)</f>
        <v>-0.2</v>
      </c>
      <c r="M36" s="113">
        <v>3207</v>
      </c>
      <c r="N36" s="34">
        <v>3211</v>
      </c>
      <c r="O36" s="318">
        <f>ROUND(N36/'第５表 '!N$28*100,1)</f>
        <v>1</v>
      </c>
      <c r="P36" s="115">
        <f t="shared" si="7"/>
        <v>0.1</v>
      </c>
      <c r="Q36" s="303">
        <f>ROUND(((100+P36)/(100)-1)*100,1)</f>
        <v>0.1</v>
      </c>
      <c r="R36" s="116">
        <v>3129</v>
      </c>
      <c r="S36" s="117">
        <v>3362.6666666666665</v>
      </c>
      <c r="T36" s="111">
        <f>ROUND(S36/'第５表 '!S$28*100,1)</f>
        <v>1.1</v>
      </c>
      <c r="U36" s="115">
        <f t="shared" si="8"/>
        <v>7.5</v>
      </c>
      <c r="V36" s="330">
        <f>ROUND(((100+U36)/(100+0.2)-1)*100,1)</f>
        <v>7.3</v>
      </c>
      <c r="W36" s="171">
        <v>3232</v>
      </c>
      <c r="X36" s="34">
        <v>3270</v>
      </c>
      <c r="Y36" s="172">
        <f>ROUND(X36/'第５表 '!X$28*100,1)</f>
        <v>1.1</v>
      </c>
      <c r="Z36" s="115">
        <f t="shared" si="9"/>
        <v>1.2</v>
      </c>
      <c r="AA36" s="303">
        <f>ROUND(((100+Z36)/(100)-1)*100,1)</f>
        <v>1.2</v>
      </c>
      <c r="AB36" s="11"/>
      <c r="AC36" s="11"/>
      <c r="AD36" s="11"/>
    </row>
    <row r="37" spans="1:51" s="25" customFormat="1" ht="26.25" customHeight="1">
      <c r="A37" s="159"/>
      <c r="B37" s="160"/>
      <c r="C37" s="160"/>
      <c r="D37" s="11"/>
      <c r="E37" s="167"/>
      <c r="F37" s="98" t="s">
        <v>32</v>
      </c>
      <c r="G37" s="6"/>
      <c r="H37" s="109">
        <v>6022</v>
      </c>
      <c r="I37" s="110">
        <v>6484.583333333333</v>
      </c>
      <c r="J37" s="111">
        <f t="shared" si="10"/>
        <v>1.9</v>
      </c>
      <c r="K37" s="112">
        <f t="shared" si="6"/>
        <v>7.7</v>
      </c>
      <c r="L37" s="115">
        <f>ROUND(((100+K37)/(100+3.8)-1)*100,1)</f>
        <v>3.8</v>
      </c>
      <c r="M37" s="113">
        <v>5500</v>
      </c>
      <c r="N37" s="34">
        <v>5617</v>
      </c>
      <c r="O37" s="318">
        <f>ROUND(N37/'第５表 '!N$28*100,1)</f>
        <v>1.8</v>
      </c>
      <c r="P37" s="115">
        <f t="shared" si="7"/>
        <v>2.1</v>
      </c>
      <c r="Q37" s="303">
        <f>ROUND(((100+P37)/(100+3.3)-1)*100,1)</f>
        <v>-1.2</v>
      </c>
      <c r="R37" s="116">
        <v>5354</v>
      </c>
      <c r="S37" s="117">
        <v>5678.666666666667</v>
      </c>
      <c r="T37" s="111">
        <f>ROUND(S37/'第５表 '!S$28*100,1)</f>
        <v>1.8</v>
      </c>
      <c r="U37" s="115">
        <f t="shared" si="8"/>
        <v>6.1</v>
      </c>
      <c r="V37" s="330">
        <f>ROUND(((100+U37)/(100+3.8)-1)*100,1)</f>
        <v>2.2</v>
      </c>
      <c r="W37" s="171">
        <v>5027</v>
      </c>
      <c r="X37" s="34">
        <v>5128</v>
      </c>
      <c r="Y37" s="172">
        <f>ROUND(X37/'第５表 '!X$28*100,1)</f>
        <v>1.8</v>
      </c>
      <c r="Z37" s="115">
        <f t="shared" si="9"/>
        <v>2</v>
      </c>
      <c r="AA37" s="303">
        <f>ROUND(((100+Z37)/(100+3.3)-1)*100,1)</f>
        <v>-1.3</v>
      </c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</row>
    <row r="38" spans="1:50" s="25" customFormat="1" ht="26.25" customHeight="1">
      <c r="A38" s="173"/>
      <c r="B38" s="174"/>
      <c r="C38" s="174"/>
      <c r="D38" s="175"/>
      <c r="E38" s="176"/>
      <c r="F38" s="177" t="s">
        <v>33</v>
      </c>
      <c r="G38" s="178"/>
      <c r="H38" s="26">
        <v>11412</v>
      </c>
      <c r="I38" s="66">
        <v>10187.833333333334</v>
      </c>
      <c r="J38" s="122">
        <f t="shared" si="10"/>
        <v>3</v>
      </c>
      <c r="K38" s="123">
        <f t="shared" si="6"/>
        <v>-10.7</v>
      </c>
      <c r="L38" s="125">
        <f>ROUND(((100+K38)/(100+1.1)-1)*100,1)</f>
        <v>-11.7</v>
      </c>
      <c r="M38" s="70">
        <v>8208</v>
      </c>
      <c r="N38" s="179">
        <v>8176</v>
      </c>
      <c r="O38" s="319">
        <f>ROUND(N38/'第５表 '!N$28*100,1)</f>
        <v>2.6</v>
      </c>
      <c r="P38" s="125">
        <f t="shared" si="7"/>
        <v>-0.4</v>
      </c>
      <c r="Q38" s="300">
        <f>ROUND(((100+P38)/(100+1.1)-1)*100,1)</f>
        <v>-1.5</v>
      </c>
      <c r="R38" s="32">
        <v>10374</v>
      </c>
      <c r="S38" s="28">
        <v>9590.25</v>
      </c>
      <c r="T38" s="122">
        <f>ROUND(S38/'第５表 '!S$28*100,1)</f>
        <v>3.1</v>
      </c>
      <c r="U38" s="125">
        <f t="shared" si="8"/>
        <v>-7.6</v>
      </c>
      <c r="V38" s="329">
        <f>ROUND(((100+U38)/(100+1.1)-1)*100,1)</f>
        <v>-8.6</v>
      </c>
      <c r="W38" s="180">
        <v>7926</v>
      </c>
      <c r="X38" s="179">
        <v>7907</v>
      </c>
      <c r="Y38" s="181">
        <f>ROUND(X38/'第５表 '!X$28*100,1)</f>
        <v>2.7</v>
      </c>
      <c r="Z38" s="125">
        <f t="shared" si="9"/>
        <v>-0.2</v>
      </c>
      <c r="AA38" s="300">
        <f>ROUND(((100+Z38)/(100+1.1)-1)*100,1)</f>
        <v>-1.3</v>
      </c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22:27" ht="14.25">
      <c r="V39" s="9"/>
      <c r="W39" s="184"/>
      <c r="AA39" s="184"/>
    </row>
    <row r="40" ht="14.25">
      <c r="AA40" s="185"/>
    </row>
    <row r="41" ht="14.25">
      <c r="AA41" s="185"/>
    </row>
    <row r="42" ht="26.25" customHeight="1"/>
    <row r="43" ht="26.25" customHeight="1"/>
    <row r="44" ht="26.25" customHeight="1"/>
    <row r="45" ht="26.25" customHeight="1"/>
    <row r="49" ht="14.25">
      <c r="U49" s="9"/>
    </row>
    <row r="54" spans="15:17" ht="21" customHeight="1">
      <c r="O54" s="183"/>
      <c r="Q54" s="25"/>
    </row>
    <row r="55" spans="15:17" ht="21" customHeight="1">
      <c r="O55" s="183"/>
      <c r="Q55" s="25"/>
    </row>
    <row r="56" spans="15:17" ht="21" customHeight="1">
      <c r="O56" s="183"/>
      <c r="Q56" s="25"/>
    </row>
    <row r="57" spans="15:17" ht="21" customHeight="1">
      <c r="O57" s="183"/>
      <c r="Q57" s="25"/>
    </row>
    <row r="58" spans="15:27" ht="21" customHeight="1">
      <c r="O58" s="183"/>
      <c r="Q58" s="25"/>
      <c r="AA58" s="9"/>
    </row>
    <row r="59" ht="21" customHeight="1"/>
    <row r="60" ht="21" customHeight="1">
      <c r="J60" s="184"/>
    </row>
    <row r="61" ht="21" customHeight="1"/>
    <row r="62" spans="6:24" s="25" customFormat="1" ht="21" customHeight="1">
      <c r="F62" s="186"/>
      <c r="G62" s="186"/>
      <c r="H62" s="186"/>
      <c r="Q62" s="183"/>
      <c r="X62" s="187"/>
    </row>
    <row r="63" spans="6:24" s="25" customFormat="1" ht="21" customHeight="1">
      <c r="F63" s="186"/>
      <c r="G63" s="186"/>
      <c r="H63" s="186"/>
      <c r="Q63" s="183"/>
      <c r="X63" s="187"/>
    </row>
    <row r="64" spans="6:24" s="25" customFormat="1" ht="21" customHeight="1">
      <c r="F64" s="186"/>
      <c r="G64" s="186"/>
      <c r="H64" s="186"/>
      <c r="N64" s="187"/>
      <c r="Q64" s="183"/>
      <c r="X64" s="187"/>
    </row>
    <row r="65" spans="1:27" s="25" customFormat="1" ht="21" customHeight="1">
      <c r="A65" s="11"/>
      <c r="B65" s="11"/>
      <c r="C65" s="11"/>
      <c r="D65" s="11"/>
      <c r="E65" s="11"/>
      <c r="F65" s="6"/>
      <c r="G65" s="6"/>
      <c r="H65" s="187"/>
      <c r="I65" s="187"/>
      <c r="J65" s="188"/>
      <c r="K65" s="188"/>
      <c r="L65" s="188"/>
      <c r="M65" s="189"/>
      <c r="N65" s="187"/>
      <c r="O65" s="188"/>
      <c r="P65" s="188"/>
      <c r="Q65" s="188"/>
      <c r="R65" s="187"/>
      <c r="S65" s="187"/>
      <c r="T65" s="188"/>
      <c r="U65" s="188"/>
      <c r="V65" s="187"/>
      <c r="W65" s="187"/>
      <c r="X65" s="187"/>
      <c r="Y65" s="188"/>
      <c r="Z65" s="188"/>
      <c r="AA65" s="188"/>
    </row>
    <row r="66" spans="1:27" s="25" customFormat="1" ht="25.5" customHeight="1">
      <c r="A66" s="11"/>
      <c r="B66" s="11"/>
      <c r="C66" s="11"/>
      <c r="D66" s="11"/>
      <c r="E66" s="11"/>
      <c r="F66" s="6"/>
      <c r="G66" s="6"/>
      <c r="H66" s="187"/>
      <c r="I66" s="187"/>
      <c r="J66" s="188"/>
      <c r="K66" s="188"/>
      <c r="L66" s="188"/>
      <c r="M66" s="189"/>
      <c r="N66" s="188"/>
      <c r="O66" s="188"/>
      <c r="P66" s="188"/>
      <c r="Q66" s="188"/>
      <c r="R66" s="187"/>
      <c r="S66" s="187"/>
      <c r="T66" s="188"/>
      <c r="U66" s="188"/>
      <c r="V66" s="187"/>
      <c r="W66" s="188"/>
      <c r="X66" s="188"/>
      <c r="Y66" s="188"/>
      <c r="Z66" s="188"/>
      <c r="AA66" s="188"/>
    </row>
    <row r="67" spans="1:27" s="25" customFormat="1" ht="25.5" customHeight="1">
      <c r="A67" s="11"/>
      <c r="B67" s="11"/>
      <c r="C67" s="11"/>
      <c r="D67" s="11"/>
      <c r="E67" s="11"/>
      <c r="F67" s="6"/>
      <c r="G67" s="6"/>
      <c r="H67" s="187"/>
      <c r="I67" s="187"/>
      <c r="J67" s="188"/>
      <c r="K67" s="188"/>
      <c r="L67" s="188"/>
      <c r="M67" s="189"/>
      <c r="N67" s="187"/>
      <c r="O67" s="188"/>
      <c r="P67" s="188"/>
      <c r="Q67" s="188"/>
      <c r="R67" s="187"/>
      <c r="S67" s="187"/>
      <c r="T67" s="188"/>
      <c r="U67" s="188"/>
      <c r="V67" s="187"/>
      <c r="W67" s="188" t="s">
        <v>97</v>
      </c>
      <c r="X67" s="188"/>
      <c r="Y67" s="188"/>
      <c r="Z67" s="188"/>
      <c r="AA67" s="188"/>
    </row>
    <row r="68" spans="6:27" s="25" customFormat="1" ht="25.5" customHeight="1">
      <c r="F68" s="186"/>
      <c r="G68" s="186"/>
      <c r="H68" s="187"/>
      <c r="I68" s="187"/>
      <c r="J68" s="187"/>
      <c r="K68" s="187"/>
      <c r="L68" s="187"/>
      <c r="M68" s="189"/>
      <c r="N68" s="187"/>
      <c r="O68" s="187"/>
      <c r="P68" s="187"/>
      <c r="Q68" s="187"/>
      <c r="R68" s="187"/>
      <c r="S68" s="187"/>
      <c r="T68" s="187"/>
      <c r="U68" s="187"/>
      <c r="V68" s="187"/>
      <c r="W68" s="187" t="s">
        <v>97</v>
      </c>
      <c r="X68" s="187"/>
      <c r="Y68" s="187"/>
      <c r="Z68" s="187"/>
      <c r="AA68" s="187"/>
    </row>
    <row r="69" spans="6:27" s="25" customFormat="1" ht="25.5" customHeight="1">
      <c r="F69" s="186"/>
      <c r="G69" s="186"/>
      <c r="H69" s="187"/>
      <c r="I69" s="187"/>
      <c r="J69" s="187"/>
      <c r="K69" s="187"/>
      <c r="L69" s="187"/>
      <c r="M69" s="189"/>
      <c r="N69" s="187"/>
      <c r="O69" s="187"/>
      <c r="P69" s="187"/>
      <c r="Q69" s="187"/>
      <c r="R69" s="187"/>
      <c r="S69" s="187"/>
      <c r="T69" s="187"/>
      <c r="U69" s="187"/>
      <c r="V69" s="187"/>
      <c r="W69" s="187" t="s">
        <v>97</v>
      </c>
      <c r="X69" s="187"/>
      <c r="Y69" s="187"/>
      <c r="Z69" s="187"/>
      <c r="AA69" s="187"/>
    </row>
    <row r="70" spans="6:27" s="25" customFormat="1" ht="25.5" customHeight="1">
      <c r="F70" s="186"/>
      <c r="G70" s="186"/>
      <c r="H70" s="187"/>
      <c r="I70" s="187"/>
      <c r="J70" s="187"/>
      <c r="K70" s="187"/>
      <c r="L70" s="187"/>
      <c r="M70" s="189"/>
      <c r="N70" s="187"/>
      <c r="O70" s="187"/>
      <c r="P70" s="187"/>
      <c r="Q70" s="187"/>
      <c r="R70" s="187"/>
      <c r="S70" s="187"/>
      <c r="T70" s="187"/>
      <c r="U70" s="187"/>
      <c r="V70" s="187"/>
      <c r="W70" s="187" t="s">
        <v>97</v>
      </c>
      <c r="X70" s="187"/>
      <c r="Y70" s="187"/>
      <c r="Z70" s="187"/>
      <c r="AA70" s="187"/>
    </row>
    <row r="71" spans="6:27" s="25" customFormat="1" ht="14.25">
      <c r="F71" s="186"/>
      <c r="G71" s="186"/>
      <c r="H71" s="187"/>
      <c r="I71" s="187"/>
      <c r="J71" s="187"/>
      <c r="K71" s="187"/>
      <c r="L71" s="187"/>
      <c r="M71" s="189"/>
      <c r="N71" s="187"/>
      <c r="O71" s="187"/>
      <c r="P71" s="187"/>
      <c r="Q71" s="187"/>
      <c r="R71" s="187"/>
      <c r="S71" s="187"/>
      <c r="T71" s="187"/>
      <c r="U71" s="187"/>
      <c r="V71" s="187"/>
      <c r="W71" s="187" t="s">
        <v>97</v>
      </c>
      <c r="X71" s="187"/>
      <c r="Y71" s="187"/>
      <c r="Z71" s="187"/>
      <c r="AA71" s="187"/>
    </row>
    <row r="72" spans="6:27" s="25" customFormat="1" ht="14.25">
      <c r="F72" s="186"/>
      <c r="G72" s="186"/>
      <c r="H72" s="187"/>
      <c r="I72" s="187"/>
      <c r="J72" s="187"/>
      <c r="K72" s="187"/>
      <c r="L72" s="187"/>
      <c r="M72" s="189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</row>
    <row r="73" spans="6:27" s="25" customFormat="1" ht="14.25">
      <c r="F73" s="186"/>
      <c r="G73" s="186"/>
      <c r="H73" s="187"/>
      <c r="I73" s="187"/>
      <c r="J73" s="187"/>
      <c r="K73" s="187"/>
      <c r="L73" s="187"/>
      <c r="M73" s="189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</row>
    <row r="74" spans="6:27" s="25" customFormat="1" ht="14.25">
      <c r="F74" s="186"/>
      <c r="G74" s="186"/>
      <c r="H74" s="187"/>
      <c r="I74" s="187"/>
      <c r="J74" s="187"/>
      <c r="K74" s="187"/>
      <c r="L74" s="187"/>
      <c r="M74" s="189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</row>
    <row r="75" spans="6:27" s="25" customFormat="1" ht="14.25">
      <c r="F75" s="186"/>
      <c r="G75" s="186"/>
      <c r="H75" s="187"/>
      <c r="I75" s="187"/>
      <c r="J75" s="187"/>
      <c r="K75" s="187"/>
      <c r="L75" s="187"/>
      <c r="M75" s="189"/>
      <c r="N75" s="187"/>
      <c r="O75" s="187"/>
      <c r="P75" s="187"/>
      <c r="Q75" s="187"/>
      <c r="R75" s="187"/>
      <c r="S75" s="187" t="s">
        <v>97</v>
      </c>
      <c r="T75" s="187"/>
      <c r="U75" s="187"/>
      <c r="V75" s="187"/>
      <c r="W75" s="187"/>
      <c r="X75" s="187"/>
      <c r="Y75" s="187"/>
      <c r="Z75" s="187"/>
      <c r="AA75" s="187"/>
    </row>
    <row r="76" spans="6:27" s="25" customFormat="1" ht="14.25">
      <c r="F76" s="186"/>
      <c r="G76" s="186"/>
      <c r="H76" s="187"/>
      <c r="I76" s="187"/>
      <c r="J76" s="187"/>
      <c r="K76" s="187"/>
      <c r="L76" s="187"/>
      <c r="M76" s="189"/>
      <c r="N76" s="187"/>
      <c r="O76" s="187"/>
      <c r="P76" s="187"/>
      <c r="Q76" s="187"/>
      <c r="R76" s="187"/>
      <c r="S76" s="187" t="s">
        <v>97</v>
      </c>
      <c r="T76" s="187"/>
      <c r="U76" s="187"/>
      <c r="V76" s="187"/>
      <c r="W76" s="187"/>
      <c r="X76" s="187"/>
      <c r="Y76" s="187"/>
      <c r="Z76" s="187"/>
      <c r="AA76" s="187"/>
    </row>
    <row r="77" spans="6:27" s="25" customFormat="1" ht="14.25">
      <c r="F77" s="186"/>
      <c r="G77" s="186"/>
      <c r="H77" s="187"/>
      <c r="I77" s="187"/>
      <c r="J77" s="187"/>
      <c r="K77" s="187"/>
      <c r="L77" s="187"/>
      <c r="M77" s="189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</row>
    <row r="78" spans="6:27" s="25" customFormat="1" ht="14.25">
      <c r="F78" s="186"/>
      <c r="G78" s="186"/>
      <c r="H78" s="189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</row>
    <row r="79" spans="6:27" s="25" customFormat="1" ht="14.25">
      <c r="F79" s="186"/>
      <c r="G79" s="186"/>
      <c r="H79" s="189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</row>
    <row r="80" spans="6:27" s="25" customFormat="1" ht="14.25">
      <c r="F80" s="186"/>
      <c r="G80" s="186"/>
      <c r="H80" s="189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</row>
    <row r="81" spans="6:27" s="25" customFormat="1" ht="14.25">
      <c r="F81" s="186"/>
      <c r="G81" s="186"/>
      <c r="H81" s="189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</row>
    <row r="82" spans="6:27" s="25" customFormat="1" ht="14.25">
      <c r="F82" s="186"/>
      <c r="G82" s="186"/>
      <c r="H82" s="189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</row>
    <row r="83" spans="6:27" s="25" customFormat="1" ht="14.25">
      <c r="F83" s="186"/>
      <c r="G83" s="186"/>
      <c r="H83" s="189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</row>
    <row r="84" spans="6:27" s="25" customFormat="1" ht="14.25">
      <c r="F84" s="186"/>
      <c r="G84" s="186"/>
      <c r="H84" s="189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</row>
    <row r="85" spans="6:27" s="25" customFormat="1" ht="14.25">
      <c r="F85" s="186"/>
      <c r="G85" s="186"/>
      <c r="H85" s="189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</row>
    <row r="86" spans="6:27" s="25" customFormat="1" ht="14.25">
      <c r="F86" s="186"/>
      <c r="G86" s="186"/>
      <c r="H86" s="189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</row>
    <row r="87" spans="6:27" s="25" customFormat="1" ht="14.25">
      <c r="F87" s="186"/>
      <c r="G87" s="186"/>
      <c r="H87" s="189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</row>
    <row r="88" spans="6:27" s="25" customFormat="1" ht="14.25">
      <c r="F88" s="186"/>
      <c r="G88" s="186"/>
      <c r="H88" s="189"/>
      <c r="I88" s="187"/>
      <c r="J88" s="187"/>
      <c r="K88" s="187"/>
      <c r="L88" s="187"/>
      <c r="M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</row>
    <row r="89" spans="6:16" s="25" customFormat="1" ht="14.25">
      <c r="F89" s="186"/>
      <c r="G89" s="186"/>
      <c r="H89" s="186"/>
      <c r="P89" s="183"/>
    </row>
    <row r="90" spans="16:17" ht="14.25">
      <c r="P90" s="183"/>
      <c r="Q90" s="25"/>
    </row>
    <row r="91" spans="16:17" ht="14.25">
      <c r="P91" s="183"/>
      <c r="Q91" s="25"/>
    </row>
    <row r="128" ht="14.25">
      <c r="N128" s="190"/>
    </row>
    <row r="129" ht="14.25">
      <c r="N129" s="190"/>
    </row>
    <row r="130" ht="14.25">
      <c r="N130" s="190"/>
    </row>
    <row r="131" ht="14.25">
      <c r="N131" s="190"/>
    </row>
    <row r="138" ht="14.25">
      <c r="H138" s="3"/>
    </row>
    <row r="139" ht="14.25">
      <c r="H139" s="3"/>
    </row>
    <row r="140" ht="14.25">
      <c r="H140" s="3"/>
    </row>
    <row r="141" ht="14.25">
      <c r="H141" s="3"/>
    </row>
  </sheetData>
  <mergeCells count="31">
    <mergeCell ref="A12:G12"/>
    <mergeCell ref="H7:H8"/>
    <mergeCell ref="A10:G10"/>
    <mergeCell ref="A11:G11"/>
    <mergeCell ref="A4:G8"/>
    <mergeCell ref="H4:Q4"/>
    <mergeCell ref="M7:M8"/>
    <mergeCell ref="H5:L5"/>
    <mergeCell ref="A9:G9"/>
    <mergeCell ref="H6:I6"/>
    <mergeCell ref="I7:I8"/>
    <mergeCell ref="K6:L6"/>
    <mergeCell ref="N7:N8"/>
    <mergeCell ref="A1:O1"/>
    <mergeCell ref="J6:J7"/>
    <mergeCell ref="R7:R8"/>
    <mergeCell ref="S7:S8"/>
    <mergeCell ref="W6:X6"/>
    <mergeCell ref="R6:S6"/>
    <mergeCell ref="T6:T7"/>
    <mergeCell ref="W7:W8"/>
    <mergeCell ref="R4:AA4"/>
    <mergeCell ref="U6:V6"/>
    <mergeCell ref="M6:N6"/>
    <mergeCell ref="R5:V5"/>
    <mergeCell ref="W5:AA5"/>
    <mergeCell ref="O6:O7"/>
    <mergeCell ref="Y6:Y7"/>
    <mergeCell ref="X7:X8"/>
    <mergeCell ref="Z6:AA6"/>
    <mergeCell ref="P6:Q6"/>
  </mergeCells>
  <printOptions horizontalCentered="1"/>
  <pageMargins left="0.5905511811023623" right="0.31496062992125984" top="0.984251968503937" bottom="0.7874015748031497" header="0.5118110236220472" footer="0.5118110236220472"/>
  <pageSetup firstPageNumber="29" useFirstPageNumber="1" horizontalDpi="600" verticalDpi="600" orientation="portrait" paperSize="9" scale="80" r:id="rId2"/>
  <headerFooter alignWithMargins="0">
    <oddFooter>&amp;C&amp;"ＭＳ 明朝,標準"- &amp;P -</oddFooter>
  </headerFooter>
  <rowBreaks count="1" manualBreakCount="1">
    <brk id="44" max="2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119"/>
  <sheetViews>
    <sheetView zoomScale="75" zoomScaleNormal="75" zoomScaleSheetLayoutView="100" workbookViewId="0" topLeftCell="A1">
      <pane xSplit="7" ySplit="8" topLeftCell="H9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A4" sqref="A4:G8"/>
    </sheetView>
  </sheetViews>
  <sheetFormatPr defaultColWidth="9.00390625" defaultRowHeight="13.5"/>
  <cols>
    <col min="1" max="5" width="2.00390625" style="191" customWidth="1"/>
    <col min="6" max="6" width="20.75390625" style="218" customWidth="1"/>
    <col min="7" max="7" width="2.00390625" style="218" customWidth="1"/>
    <col min="8" max="8" width="11.50390625" style="218" customWidth="1"/>
    <col min="9" max="9" width="11.50390625" style="191" customWidth="1"/>
    <col min="10" max="10" width="9.00390625" style="191" customWidth="1"/>
    <col min="11" max="11" width="10.00390625" style="191" bestFit="1" customWidth="1"/>
    <col min="12" max="12" width="9.00390625" style="191" customWidth="1"/>
    <col min="13" max="14" width="11.50390625" style="219" customWidth="1"/>
    <col min="15" max="17" width="9.00390625" style="191" customWidth="1"/>
    <col min="18" max="19" width="11.50390625" style="191" customWidth="1"/>
    <col min="20" max="21" width="9.00390625" style="191" customWidth="1"/>
    <col min="22" max="22" width="9.00390625" style="220" customWidth="1"/>
    <col min="23" max="24" width="11.50390625" style="191" customWidth="1"/>
    <col min="25" max="16384" width="9.00390625" style="191" customWidth="1"/>
  </cols>
  <sheetData>
    <row r="1" spans="1:27" s="3" customFormat="1" ht="21.75" customHeight="1">
      <c r="A1" s="415"/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</row>
    <row r="2" spans="1:27" s="3" customFormat="1" ht="5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6"/>
      <c r="N2" s="7"/>
      <c r="O2" s="7"/>
      <c r="P2" s="7"/>
      <c r="Q2" s="8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s="3" customFormat="1" ht="18.75" customHeight="1" thickBot="1">
      <c r="A3" s="9"/>
      <c r="B3" s="9"/>
      <c r="C3" s="9"/>
      <c r="D3" s="9"/>
      <c r="E3" s="9"/>
      <c r="F3" s="10"/>
      <c r="G3" s="10"/>
      <c r="H3" s="10"/>
      <c r="I3" s="9"/>
      <c r="J3" s="9"/>
      <c r="K3" s="9"/>
      <c r="L3" s="9"/>
      <c r="M3" s="11"/>
      <c r="N3" s="11"/>
      <c r="O3" s="11"/>
      <c r="P3" s="11"/>
      <c r="Q3" s="12"/>
      <c r="R3" s="9"/>
      <c r="S3" s="11"/>
      <c r="T3" s="9"/>
      <c r="U3" s="10"/>
      <c r="W3" s="10"/>
      <c r="X3" s="10"/>
      <c r="Y3" s="9"/>
      <c r="Z3" s="9"/>
      <c r="AA3" s="9"/>
    </row>
    <row r="4" spans="1:27" ht="26.25" customHeight="1">
      <c r="A4" s="407" t="s">
        <v>4</v>
      </c>
      <c r="B4" s="408"/>
      <c r="C4" s="408"/>
      <c r="D4" s="408"/>
      <c r="E4" s="408"/>
      <c r="F4" s="408"/>
      <c r="G4" s="409"/>
      <c r="H4" s="400" t="s">
        <v>5</v>
      </c>
      <c r="I4" s="401"/>
      <c r="J4" s="401"/>
      <c r="K4" s="401"/>
      <c r="L4" s="401"/>
      <c r="M4" s="401"/>
      <c r="N4" s="401"/>
      <c r="O4" s="401"/>
      <c r="P4" s="401"/>
      <c r="Q4" s="402"/>
      <c r="R4" s="357" t="s">
        <v>6</v>
      </c>
      <c r="S4" s="358"/>
      <c r="T4" s="358"/>
      <c r="U4" s="358"/>
      <c r="V4" s="358"/>
      <c r="W4" s="358"/>
      <c r="X4" s="358"/>
      <c r="Y4" s="358"/>
      <c r="Z4" s="358"/>
      <c r="AA4" s="359"/>
    </row>
    <row r="5" spans="1:27" ht="26.25" customHeight="1">
      <c r="A5" s="410"/>
      <c r="B5" s="411"/>
      <c r="C5" s="411"/>
      <c r="D5" s="411"/>
      <c r="E5" s="411"/>
      <c r="F5" s="411"/>
      <c r="G5" s="411"/>
      <c r="H5" s="364" t="s">
        <v>98</v>
      </c>
      <c r="I5" s="365"/>
      <c r="J5" s="365"/>
      <c r="K5" s="365"/>
      <c r="L5" s="356"/>
      <c r="M5" s="14" t="s">
        <v>99</v>
      </c>
      <c r="N5" s="15"/>
      <c r="O5" s="15"/>
      <c r="P5" s="16"/>
      <c r="Q5" s="17"/>
      <c r="R5" s="364" t="s">
        <v>98</v>
      </c>
      <c r="S5" s="365"/>
      <c r="T5" s="365"/>
      <c r="U5" s="365"/>
      <c r="V5" s="356"/>
      <c r="W5" s="355" t="s">
        <v>100</v>
      </c>
      <c r="X5" s="366"/>
      <c r="Y5" s="366"/>
      <c r="Z5" s="366"/>
      <c r="AA5" s="367"/>
    </row>
    <row r="6" spans="1:27" ht="26.25" customHeight="1">
      <c r="A6" s="410"/>
      <c r="B6" s="411"/>
      <c r="C6" s="411"/>
      <c r="D6" s="411"/>
      <c r="E6" s="411"/>
      <c r="F6" s="411"/>
      <c r="G6" s="411"/>
      <c r="H6" s="379" t="s">
        <v>101</v>
      </c>
      <c r="I6" s="361"/>
      <c r="J6" s="370" t="s">
        <v>135</v>
      </c>
      <c r="K6" s="360" t="s">
        <v>102</v>
      </c>
      <c r="L6" s="361"/>
      <c r="M6" s="379" t="s">
        <v>103</v>
      </c>
      <c r="N6" s="361"/>
      <c r="O6" s="370" t="s">
        <v>135</v>
      </c>
      <c r="P6" s="414" t="s">
        <v>102</v>
      </c>
      <c r="Q6" s="374"/>
      <c r="R6" s="380" t="s">
        <v>103</v>
      </c>
      <c r="S6" s="361"/>
      <c r="T6" s="370" t="s">
        <v>135</v>
      </c>
      <c r="U6" s="360" t="s">
        <v>102</v>
      </c>
      <c r="V6" s="361"/>
      <c r="W6" s="379" t="s">
        <v>103</v>
      </c>
      <c r="X6" s="361"/>
      <c r="Y6" s="370" t="s">
        <v>135</v>
      </c>
      <c r="Z6" s="360" t="s">
        <v>102</v>
      </c>
      <c r="AA6" s="374"/>
    </row>
    <row r="7" spans="1:27" ht="26.25" customHeight="1">
      <c r="A7" s="410"/>
      <c r="B7" s="411"/>
      <c r="C7" s="411"/>
      <c r="D7" s="411"/>
      <c r="E7" s="411"/>
      <c r="F7" s="411"/>
      <c r="G7" s="411"/>
      <c r="H7" s="381" t="s">
        <v>11</v>
      </c>
      <c r="I7" s="372" t="s">
        <v>134</v>
      </c>
      <c r="J7" s="371"/>
      <c r="K7" s="18" t="s">
        <v>104</v>
      </c>
      <c r="L7" s="19" t="s">
        <v>105</v>
      </c>
      <c r="M7" s="381" t="s">
        <v>11</v>
      </c>
      <c r="N7" s="372" t="s">
        <v>134</v>
      </c>
      <c r="O7" s="371"/>
      <c r="P7" s="19" t="s">
        <v>104</v>
      </c>
      <c r="Q7" s="320" t="s">
        <v>105</v>
      </c>
      <c r="R7" s="377" t="s">
        <v>11</v>
      </c>
      <c r="S7" s="372" t="s">
        <v>134</v>
      </c>
      <c r="T7" s="371"/>
      <c r="U7" s="18" t="s">
        <v>104</v>
      </c>
      <c r="V7" s="19" t="s">
        <v>105</v>
      </c>
      <c r="W7" s="381" t="s">
        <v>11</v>
      </c>
      <c r="X7" s="372" t="s">
        <v>134</v>
      </c>
      <c r="Y7" s="371"/>
      <c r="Z7" s="18" t="s">
        <v>104</v>
      </c>
      <c r="AA7" s="20" t="s">
        <v>105</v>
      </c>
    </row>
    <row r="8" spans="1:27" ht="26.25" customHeight="1">
      <c r="A8" s="412"/>
      <c r="B8" s="413"/>
      <c r="C8" s="413"/>
      <c r="D8" s="413"/>
      <c r="E8" s="413"/>
      <c r="F8" s="413"/>
      <c r="G8" s="413"/>
      <c r="H8" s="382"/>
      <c r="I8" s="373"/>
      <c r="J8" s="192" t="s">
        <v>12</v>
      </c>
      <c r="K8" s="193" t="s">
        <v>12</v>
      </c>
      <c r="L8" s="192" t="s">
        <v>12</v>
      </c>
      <c r="M8" s="382"/>
      <c r="N8" s="373"/>
      <c r="O8" s="192" t="s">
        <v>12</v>
      </c>
      <c r="P8" s="192" t="s">
        <v>12</v>
      </c>
      <c r="Q8" s="321" t="s">
        <v>12</v>
      </c>
      <c r="R8" s="378"/>
      <c r="S8" s="373"/>
      <c r="T8" s="192" t="s">
        <v>12</v>
      </c>
      <c r="U8" s="193" t="s">
        <v>12</v>
      </c>
      <c r="V8" s="192" t="s">
        <v>12</v>
      </c>
      <c r="W8" s="382"/>
      <c r="X8" s="373"/>
      <c r="Y8" s="194" t="s">
        <v>12</v>
      </c>
      <c r="Z8" s="192" t="s">
        <v>12</v>
      </c>
      <c r="AA8" s="195" t="s">
        <v>12</v>
      </c>
    </row>
    <row r="9" spans="1:27" s="25" customFormat="1" ht="26.25" customHeight="1">
      <c r="A9" s="159"/>
      <c r="B9" s="160"/>
      <c r="C9" s="160"/>
      <c r="D9" s="11"/>
      <c r="E9" s="167"/>
      <c r="F9" s="98" t="s">
        <v>106</v>
      </c>
      <c r="G9" s="6"/>
      <c r="H9" s="109">
        <v>4005</v>
      </c>
      <c r="I9" s="110">
        <v>4021</v>
      </c>
      <c r="J9" s="111">
        <f>ROUND(I9/'第５表 '!I$28*100,1)</f>
        <v>1.2</v>
      </c>
      <c r="K9" s="112">
        <f aca="true" t="shared" si="0" ref="K9:K38">ROUND((I9-H9)/H9*100,1)</f>
        <v>0.4</v>
      </c>
      <c r="L9" s="115">
        <f>ROUND(((100+K9)/(100-2.2)-1)*100,1)</f>
        <v>2.7</v>
      </c>
      <c r="M9" s="113">
        <v>3812</v>
      </c>
      <c r="N9" s="34">
        <v>3841</v>
      </c>
      <c r="O9" s="111">
        <f>ROUND(N9/'第５表 '!N$28*100,1)</f>
        <v>1.2</v>
      </c>
      <c r="P9" s="115">
        <f aca="true" t="shared" si="1" ref="P9:P38">ROUND((N9-M9)/M9*100,1)</f>
        <v>0.8</v>
      </c>
      <c r="Q9" s="303">
        <f>ROUND(((100+P9)/(100-2.3)-1)*100,1)</f>
        <v>3.2</v>
      </c>
      <c r="R9" s="116">
        <v>3481</v>
      </c>
      <c r="S9" s="117">
        <v>3636</v>
      </c>
      <c r="T9" s="111">
        <f>ROUND(S9/'第５表 '!S$28*100,1)</f>
        <v>1.2</v>
      </c>
      <c r="U9" s="115">
        <f aca="true" t="shared" si="2" ref="U9:U23">ROUND((S9-R9)/R9*100,1)</f>
        <v>4.5</v>
      </c>
      <c r="V9" s="333">
        <f>ROUND(((100+U9)/(100-2.2)-1)*100,1)</f>
        <v>6.9</v>
      </c>
      <c r="W9" s="171">
        <v>3615</v>
      </c>
      <c r="X9" s="34">
        <v>3638</v>
      </c>
      <c r="Y9" s="172">
        <f>ROUND(X9/'第５表 '!X$28*100,1)</f>
        <v>1.2</v>
      </c>
      <c r="Z9" s="115">
        <f aca="true" t="shared" si="3" ref="Z9:Z38">ROUND((X9-W9)/W9*100,1)</f>
        <v>0.6</v>
      </c>
      <c r="AA9" s="303">
        <f>ROUND(((100+Z9)/(100-2.3)-1)*100,1)</f>
        <v>3</v>
      </c>
    </row>
    <row r="10" spans="1:63" s="25" customFormat="1" ht="26.25" customHeight="1">
      <c r="A10" s="159"/>
      <c r="B10" s="160"/>
      <c r="C10" s="160"/>
      <c r="D10" s="11"/>
      <c r="E10" s="167"/>
      <c r="F10" s="98" t="s">
        <v>107</v>
      </c>
      <c r="G10" s="6"/>
      <c r="H10" s="109">
        <v>2874</v>
      </c>
      <c r="I10" s="110">
        <v>3807.8333333333335</v>
      </c>
      <c r="J10" s="111">
        <f>ROUND(I10/'第５表 '!I$28*100,1)</f>
        <v>1.1</v>
      </c>
      <c r="K10" s="112">
        <f t="shared" si="0"/>
        <v>32.5</v>
      </c>
      <c r="L10" s="115">
        <f>ROUND(((100+K10)/(100-0.4)-1)*100,1)</f>
        <v>33</v>
      </c>
      <c r="M10" s="113">
        <v>3341</v>
      </c>
      <c r="N10" s="34">
        <v>3190</v>
      </c>
      <c r="O10" s="111">
        <f>ROUND(N10/'第５表 '!N$28*100,1)</f>
        <v>1</v>
      </c>
      <c r="P10" s="115">
        <f t="shared" si="1"/>
        <v>-4.5</v>
      </c>
      <c r="Q10" s="303">
        <f>ROUND(((100+P10)/(100-0.5)-1)*100,1)</f>
        <v>-4</v>
      </c>
      <c r="R10" s="116">
        <v>3499</v>
      </c>
      <c r="S10" s="117">
        <v>3931.0833333333335</v>
      </c>
      <c r="T10" s="111">
        <f>ROUND(S10/'第５表 '!S$28*100,1)</f>
        <v>1.3</v>
      </c>
      <c r="U10" s="112">
        <f t="shared" si="2"/>
        <v>12.3</v>
      </c>
      <c r="V10" s="330">
        <f>ROUND(((100+U10)/(100-0.4)-1)*100,1)</f>
        <v>12.8</v>
      </c>
      <c r="W10" s="171">
        <v>3367</v>
      </c>
      <c r="X10" s="34">
        <v>3250</v>
      </c>
      <c r="Y10" s="172">
        <f>ROUND(X10/'第５表 '!X$28*100,1)</f>
        <v>1.1</v>
      </c>
      <c r="Z10" s="115">
        <f t="shared" si="3"/>
        <v>-3.5</v>
      </c>
      <c r="AA10" s="303">
        <f>ROUND(((100+Z10)/(100-0.5)-1)*100,1)</f>
        <v>-3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</row>
    <row r="11" spans="1:27" s="25" customFormat="1" ht="26.25" customHeight="1">
      <c r="A11" s="159"/>
      <c r="B11" s="160"/>
      <c r="C11" s="160"/>
      <c r="D11" s="176"/>
      <c r="E11" s="176"/>
      <c r="F11" s="177" t="s">
        <v>108</v>
      </c>
      <c r="G11" s="178"/>
      <c r="H11" s="26">
        <v>12262</v>
      </c>
      <c r="I11" s="66">
        <v>10890.833333333334</v>
      </c>
      <c r="J11" s="122">
        <f>ROUND(I11/'第５表 '!I$28*100,1)</f>
        <v>3.3</v>
      </c>
      <c r="K11" s="123">
        <f t="shared" si="0"/>
        <v>-11.2</v>
      </c>
      <c r="L11" s="125">
        <f>ROUND(((100+K11)/(100+1.3)-1)*100,1)</f>
        <v>-12.3</v>
      </c>
      <c r="M11" s="70">
        <v>14178</v>
      </c>
      <c r="N11" s="179">
        <v>14141</v>
      </c>
      <c r="O11" s="122">
        <f>ROUND(N11/'第５表 '!N$28*100,1)</f>
        <v>4.4</v>
      </c>
      <c r="P11" s="125">
        <f t="shared" si="1"/>
        <v>-0.3</v>
      </c>
      <c r="Q11" s="300">
        <f>ROUND(((100+P11)/(100+0.9)-1)*100,1)</f>
        <v>-1.2</v>
      </c>
      <c r="R11" s="32">
        <v>11148</v>
      </c>
      <c r="S11" s="28">
        <v>10172.75</v>
      </c>
      <c r="T11" s="122">
        <f>ROUND(S11/'第５表 '!S$28*100,1)</f>
        <v>3.3</v>
      </c>
      <c r="U11" s="125">
        <f t="shared" si="2"/>
        <v>-8.7</v>
      </c>
      <c r="V11" s="329">
        <f>ROUND(((100+U11)/(100+1.3)-1)*100,1)</f>
        <v>-9.9</v>
      </c>
      <c r="W11" s="180">
        <v>11716</v>
      </c>
      <c r="X11" s="179">
        <v>11498</v>
      </c>
      <c r="Y11" s="181">
        <f>ROUND(X11/'第５表 '!X$28*100,1)</f>
        <v>3.9</v>
      </c>
      <c r="Z11" s="125">
        <f t="shared" si="3"/>
        <v>-1.9</v>
      </c>
      <c r="AA11" s="300">
        <f>ROUND(((100+Z11)/(100+0.9)-1)*100,1)</f>
        <v>-2.8</v>
      </c>
    </row>
    <row r="12" spans="1:27" s="25" customFormat="1" ht="26.25" customHeight="1">
      <c r="A12" s="159"/>
      <c r="B12" s="160" t="s">
        <v>2</v>
      </c>
      <c r="C12" s="160"/>
      <c r="D12" s="167" t="s">
        <v>34</v>
      </c>
      <c r="E12" s="11"/>
      <c r="F12" s="196"/>
      <c r="G12" s="196"/>
      <c r="H12" s="26">
        <v>11993</v>
      </c>
      <c r="I12" s="66">
        <v>8998</v>
      </c>
      <c r="J12" s="122">
        <f>ROUND(I12/'第５表 '!I$28*100,1)</f>
        <v>2.7</v>
      </c>
      <c r="K12" s="84">
        <f t="shared" si="0"/>
        <v>-25</v>
      </c>
      <c r="L12" s="198">
        <f>ROUND(((100+K12)/(100+0.9)-1)*100,1)</f>
        <v>-25.7</v>
      </c>
      <c r="M12" s="70">
        <v>19156</v>
      </c>
      <c r="N12" s="197">
        <v>19614</v>
      </c>
      <c r="O12" s="122">
        <f>+ROUND(N12/'第５表 '!N$28*100,1)</f>
        <v>6.1</v>
      </c>
      <c r="P12" s="198">
        <f t="shared" si="1"/>
        <v>2.4</v>
      </c>
      <c r="Q12" s="305">
        <f>ROUND(((100+P12)/(100+0)-1)*100,1)</f>
        <v>2.4</v>
      </c>
      <c r="R12" s="32">
        <v>14651</v>
      </c>
      <c r="S12" s="28">
        <v>8113.166666666667</v>
      </c>
      <c r="T12" s="122">
        <f>+ROUND(S12/'第５表 '!S$28*100,1)</f>
        <v>2.6</v>
      </c>
      <c r="U12" s="84">
        <f t="shared" si="2"/>
        <v>-44.6</v>
      </c>
      <c r="V12" s="334">
        <f>ROUND(((100+U12)/(100+0.9)-1)*100,1)</f>
        <v>-45.1</v>
      </c>
      <c r="W12" s="180">
        <v>16897</v>
      </c>
      <c r="X12" s="199">
        <v>17024</v>
      </c>
      <c r="Y12" s="181">
        <f>ROUND(X12/'第５表 '!X$28*100,1)</f>
        <v>5.8</v>
      </c>
      <c r="Z12" s="198">
        <f t="shared" si="3"/>
        <v>0.8</v>
      </c>
      <c r="AA12" s="305">
        <f>ROUND(((100+Z12)/(100+0)-1)*100,1)</f>
        <v>0.8</v>
      </c>
    </row>
    <row r="13" spans="1:27" s="25" customFormat="1" ht="26.25" customHeight="1">
      <c r="A13" s="159"/>
      <c r="B13" s="160"/>
      <c r="C13" s="160"/>
      <c r="D13" s="11"/>
      <c r="E13" s="164"/>
      <c r="F13" s="200" t="s">
        <v>109</v>
      </c>
      <c r="G13" s="168"/>
      <c r="H13" s="99">
        <v>6879</v>
      </c>
      <c r="I13" s="100">
        <v>3946.6666666666665</v>
      </c>
      <c r="J13" s="101">
        <f>ROUND(I13/'第５表 '!I$28*100,1)</f>
        <v>1.2</v>
      </c>
      <c r="K13" s="112">
        <f t="shared" si="0"/>
        <v>-42.6</v>
      </c>
      <c r="L13" s="202">
        <f>ROUND(((100+K13)/(100-0.9)-1)*100,1)</f>
        <v>-42.1</v>
      </c>
      <c r="M13" s="103">
        <v>13099</v>
      </c>
      <c r="N13" s="201">
        <v>13826</v>
      </c>
      <c r="O13" s="101">
        <f>ROUND(N13/'第５表 '!N$28*100,1)</f>
        <v>4.3</v>
      </c>
      <c r="P13" s="202">
        <f t="shared" si="1"/>
        <v>5.6</v>
      </c>
      <c r="Q13" s="306">
        <f>ROUND(((100+P13)/(100-0.3)-1)*100,1)</f>
        <v>5.9</v>
      </c>
      <c r="R13" s="106">
        <v>5100</v>
      </c>
      <c r="S13" s="58">
        <v>2973.75</v>
      </c>
      <c r="T13" s="101">
        <f>ROUND(S13/'第５表 '!S$28*100,1)</f>
        <v>1</v>
      </c>
      <c r="U13" s="102">
        <f t="shared" si="2"/>
        <v>-41.7</v>
      </c>
      <c r="V13" s="335">
        <f>ROUND(((100+U13)/(100-0.9)-1)*100,1)</f>
        <v>-41.2</v>
      </c>
      <c r="W13" s="169">
        <v>9387</v>
      </c>
      <c r="X13" s="201">
        <v>9869</v>
      </c>
      <c r="Y13" s="170">
        <f>ROUND(X13/'第５表 '!X$28*100,1)</f>
        <v>3.4</v>
      </c>
      <c r="Z13" s="202">
        <f t="shared" si="3"/>
        <v>5.1</v>
      </c>
      <c r="AA13" s="306">
        <f>ROUND(((100+Z13)/(100-0.3)-1)*100,1)</f>
        <v>5.4</v>
      </c>
    </row>
    <row r="14" spans="1:27" s="25" customFormat="1" ht="26.25" customHeight="1">
      <c r="A14" s="159"/>
      <c r="B14" s="160"/>
      <c r="C14" s="160"/>
      <c r="D14" s="176"/>
      <c r="E14" s="176"/>
      <c r="F14" s="177" t="s">
        <v>35</v>
      </c>
      <c r="G14" s="154"/>
      <c r="H14" s="26">
        <v>5114</v>
      </c>
      <c r="I14" s="66">
        <v>5051.083333333333</v>
      </c>
      <c r="J14" s="122">
        <f>ROUND(I14/'第５表 '!I$28*100,1)</f>
        <v>1.5</v>
      </c>
      <c r="K14" s="123">
        <f t="shared" si="0"/>
        <v>-1.2</v>
      </c>
      <c r="L14" s="198">
        <f>ROUND(((100+K14)/(100+1.8)-1)*100,1)</f>
        <v>-2.9</v>
      </c>
      <c r="M14" s="70">
        <v>6057</v>
      </c>
      <c r="N14" s="197">
        <v>5788</v>
      </c>
      <c r="O14" s="122">
        <f>ROUND(N14/'第５表 '!N$28*100,1)</f>
        <v>1.8</v>
      </c>
      <c r="P14" s="198">
        <f t="shared" si="1"/>
        <v>-4.4</v>
      </c>
      <c r="Q14" s="305">
        <f>ROUND(((100+P14)/(100+0.6)-1)*100,1)</f>
        <v>-5</v>
      </c>
      <c r="R14" s="32">
        <v>9551</v>
      </c>
      <c r="S14" s="28">
        <v>5139.166666666667</v>
      </c>
      <c r="T14" s="122">
        <f>ROUND(S14/'第５表 '!S$28*100,1)</f>
        <v>1.7</v>
      </c>
      <c r="U14" s="125">
        <f t="shared" si="2"/>
        <v>-46.2</v>
      </c>
      <c r="V14" s="334">
        <f>ROUND(((100+U14)/(100+1.8)-1)*100,1)</f>
        <v>-47.2</v>
      </c>
      <c r="W14" s="180">
        <v>7510</v>
      </c>
      <c r="X14" s="203">
        <v>7155</v>
      </c>
      <c r="Y14" s="181">
        <f>ROUND(X14/'第５表 '!X$28*100,1)</f>
        <v>2.5</v>
      </c>
      <c r="Z14" s="198">
        <f t="shared" si="3"/>
        <v>-4.7</v>
      </c>
      <c r="AA14" s="305">
        <f>ROUND(((100+Z14)/(100+0.6)-1)*100,1)</f>
        <v>-5.3</v>
      </c>
    </row>
    <row r="15" spans="1:29" s="25" customFormat="1" ht="26.25" customHeight="1">
      <c r="A15" s="159"/>
      <c r="B15" s="160" t="s">
        <v>2</v>
      </c>
      <c r="C15" s="160"/>
      <c r="D15" s="11" t="s">
        <v>36</v>
      </c>
      <c r="E15" s="11"/>
      <c r="F15" s="196"/>
      <c r="G15" s="196"/>
      <c r="H15" s="26">
        <v>24701</v>
      </c>
      <c r="I15" s="66">
        <v>22801.583333333332</v>
      </c>
      <c r="J15" s="94">
        <f>ROUND(I15/'第５表 '!I$28*100,1)</f>
        <v>6.8</v>
      </c>
      <c r="K15" s="102">
        <f t="shared" si="0"/>
        <v>-7.7</v>
      </c>
      <c r="L15" s="204">
        <f>ROUND(((100+K15)/(100-5)-1)*100,1)</f>
        <v>-2.8</v>
      </c>
      <c r="M15" s="70">
        <v>22666</v>
      </c>
      <c r="N15" s="199">
        <v>21466</v>
      </c>
      <c r="O15" s="94">
        <f>ROUND(N15/'第５表 '!N$28*100,1)</f>
        <v>6.7</v>
      </c>
      <c r="P15" s="204">
        <f t="shared" si="1"/>
        <v>-5.3</v>
      </c>
      <c r="Q15" s="307">
        <f>ROUND(((100+P15)/(100-4.2)-1)*100,1)</f>
        <v>-1.1</v>
      </c>
      <c r="R15" s="32">
        <v>24906</v>
      </c>
      <c r="S15" s="28">
        <v>23857.083333333332</v>
      </c>
      <c r="T15" s="122">
        <f>ROUND(S15/'第５表 '!S$28*100,1)</f>
        <v>7.7</v>
      </c>
      <c r="U15" s="102">
        <f t="shared" si="2"/>
        <v>-4.2</v>
      </c>
      <c r="V15" s="336">
        <f>ROUND(((100+U15)/(100-5)-1)*100,1)</f>
        <v>0.8</v>
      </c>
      <c r="W15" s="205">
        <v>22762</v>
      </c>
      <c r="X15" s="199">
        <v>21685</v>
      </c>
      <c r="Y15" s="166">
        <f>ROUND(X15/'第５表 '!X$28*100,1)</f>
        <v>7.4</v>
      </c>
      <c r="Z15" s="204">
        <f t="shared" si="3"/>
        <v>-4.7</v>
      </c>
      <c r="AA15" s="307">
        <f>ROUND(((100+Z15)/(100-4.2)-1)*100,1)</f>
        <v>-0.5</v>
      </c>
      <c r="AB15" s="187"/>
      <c r="AC15" s="187"/>
    </row>
    <row r="16" spans="1:29" s="25" customFormat="1" ht="26.25" customHeight="1">
      <c r="A16" s="159"/>
      <c r="B16" s="160"/>
      <c r="C16" s="160"/>
      <c r="D16" s="11"/>
      <c r="E16" s="164"/>
      <c r="F16" s="200" t="s">
        <v>110</v>
      </c>
      <c r="G16" s="168"/>
      <c r="H16" s="99">
        <v>11694</v>
      </c>
      <c r="I16" s="100">
        <v>12045.333333333334</v>
      </c>
      <c r="J16" s="101">
        <f>ROUND(I16/'第５表 '!I$28*100,1)</f>
        <v>3.6</v>
      </c>
      <c r="K16" s="102">
        <f t="shared" si="0"/>
        <v>3</v>
      </c>
      <c r="L16" s="202">
        <f>ROUND(((100+K16)/(100-0.2)-1)*100,1)</f>
        <v>3.2</v>
      </c>
      <c r="M16" s="103">
        <v>9482</v>
      </c>
      <c r="N16" s="201">
        <v>9282</v>
      </c>
      <c r="O16" s="101">
        <f>ROUND(N16/'第５表 '!N$28*100,1)</f>
        <v>2.9</v>
      </c>
      <c r="P16" s="202">
        <f t="shared" si="1"/>
        <v>-2.1</v>
      </c>
      <c r="Q16" s="306">
        <f>ROUND(((100+P16)/(100-0.6)-1)*100,1)</f>
        <v>-1.5</v>
      </c>
      <c r="R16" s="106">
        <v>11733</v>
      </c>
      <c r="S16" s="58">
        <v>12765.333333333334</v>
      </c>
      <c r="T16" s="101">
        <f>ROUND(S16/'第５表 '!S$28*100,1)</f>
        <v>4.1</v>
      </c>
      <c r="U16" s="102">
        <f t="shared" si="2"/>
        <v>8.8</v>
      </c>
      <c r="V16" s="335">
        <f>ROUND(((100+U16)/(100-0.2)-1)*100,1)</f>
        <v>9</v>
      </c>
      <c r="W16" s="206">
        <v>9784</v>
      </c>
      <c r="X16" s="201">
        <v>9646</v>
      </c>
      <c r="Y16" s="170">
        <f>ROUND(X16/'第５表 '!X$28*100,1)</f>
        <v>3.3</v>
      </c>
      <c r="Z16" s="202">
        <f t="shared" si="3"/>
        <v>-1.4</v>
      </c>
      <c r="AA16" s="306">
        <f>ROUND(((100+Z16)/(100-0.6)-1)*100,1)</f>
        <v>-0.8</v>
      </c>
      <c r="AB16" s="187"/>
      <c r="AC16" s="187"/>
    </row>
    <row r="17" spans="1:29" s="25" customFormat="1" ht="26.25" customHeight="1">
      <c r="A17" s="159"/>
      <c r="B17" s="160"/>
      <c r="C17" s="160"/>
      <c r="D17" s="11"/>
      <c r="E17" s="167"/>
      <c r="F17" s="98" t="s">
        <v>111</v>
      </c>
      <c r="G17" s="6"/>
      <c r="H17" s="109">
        <v>6410</v>
      </c>
      <c r="I17" s="110">
        <v>5195.666666666667</v>
      </c>
      <c r="J17" s="111">
        <f>ROUND(I17/'第５表 '!I$28*100,1)</f>
        <v>1.6</v>
      </c>
      <c r="K17" s="112">
        <f t="shared" si="0"/>
        <v>-18.9</v>
      </c>
      <c r="L17" s="207">
        <f>ROUND(((100+K17)/(100-2.7)-1)*100,1)</f>
        <v>-16.6</v>
      </c>
      <c r="M17" s="113">
        <v>6205</v>
      </c>
      <c r="N17" s="201">
        <v>5915</v>
      </c>
      <c r="O17" s="111">
        <f>ROUND(N17/'第５表 '!N$28*100,1)</f>
        <v>1.9</v>
      </c>
      <c r="P17" s="207">
        <f t="shared" si="1"/>
        <v>-4.7</v>
      </c>
      <c r="Q17" s="308">
        <f>ROUND(((100+P17)/(100-0.6)-1)*100,1)</f>
        <v>-4.1</v>
      </c>
      <c r="R17" s="116">
        <v>6265</v>
      </c>
      <c r="S17" s="117">
        <v>5203.583333333333</v>
      </c>
      <c r="T17" s="111">
        <f>ROUND(S17/'第５表 '!S$28*100,1)</f>
        <v>1.7</v>
      </c>
      <c r="U17" s="112">
        <f t="shared" si="2"/>
        <v>-16.9</v>
      </c>
      <c r="V17" s="337">
        <f>ROUND(((100+U17)/(100-2.7)-1)*100,1)</f>
        <v>-14.6</v>
      </c>
      <c r="W17" s="208">
        <v>5971</v>
      </c>
      <c r="X17" s="201">
        <v>5703</v>
      </c>
      <c r="Y17" s="172">
        <f>ROUND(X17/'第５表 '!X$28*100,1)</f>
        <v>2</v>
      </c>
      <c r="Z17" s="207">
        <f t="shared" si="3"/>
        <v>-4.5</v>
      </c>
      <c r="AA17" s="308">
        <f>ROUND(((100+Z17)/(100-0.6)-1)*100,1)</f>
        <v>-3.9</v>
      </c>
      <c r="AB17" s="187"/>
      <c r="AC17" s="187"/>
    </row>
    <row r="18" spans="1:29" s="25" customFormat="1" ht="26.25" customHeight="1">
      <c r="A18" s="159"/>
      <c r="B18" s="160"/>
      <c r="C18" s="160"/>
      <c r="D18" s="11"/>
      <c r="E18" s="167"/>
      <c r="F18" s="98" t="s">
        <v>112</v>
      </c>
      <c r="G18" s="6"/>
      <c r="H18" s="109">
        <v>2112</v>
      </c>
      <c r="I18" s="110">
        <v>1782.1666666666667</v>
      </c>
      <c r="J18" s="111">
        <f>ROUND(I18/'第５表 '!I$28*100,1)</f>
        <v>0.5</v>
      </c>
      <c r="K18" s="112">
        <f t="shared" si="0"/>
        <v>-15.6</v>
      </c>
      <c r="L18" s="207">
        <f>ROUND(((100+K18)/(100-33.4)-1)*100,1)</f>
        <v>26.7</v>
      </c>
      <c r="M18" s="113">
        <v>1830</v>
      </c>
      <c r="N18" s="201">
        <v>1184</v>
      </c>
      <c r="O18" s="111">
        <f>ROUND(N18/'第５表 '!N$28*100,1)</f>
        <v>0.4</v>
      </c>
      <c r="P18" s="207">
        <f t="shared" si="1"/>
        <v>-35.3</v>
      </c>
      <c r="Q18" s="308">
        <f>ROUND(((100+P18)/(100-33.8)-1)*100,1)</f>
        <v>-2.3</v>
      </c>
      <c r="R18" s="116">
        <v>2276</v>
      </c>
      <c r="S18" s="117">
        <v>1928</v>
      </c>
      <c r="T18" s="111">
        <f>ROUND(S18/'第５表 '!S$28*100,1)</f>
        <v>0.6</v>
      </c>
      <c r="U18" s="112">
        <f t="shared" si="2"/>
        <v>-15.3</v>
      </c>
      <c r="V18" s="337">
        <f>ROUND(((100+U18)/(100-33.4)-1)*100,1)</f>
        <v>27.2</v>
      </c>
      <c r="W18" s="208">
        <v>1959</v>
      </c>
      <c r="X18" s="201">
        <v>1312</v>
      </c>
      <c r="Y18" s="172">
        <f>ROUND(X18/'第５表 '!X$28*100,1)</f>
        <v>0.4</v>
      </c>
      <c r="Z18" s="207">
        <f t="shared" si="3"/>
        <v>-33</v>
      </c>
      <c r="AA18" s="308">
        <f>ROUND(((100+Z18)/(100-33.8)-1)*100,1)</f>
        <v>1.2</v>
      </c>
      <c r="AB18" s="187"/>
      <c r="AC18" s="187"/>
    </row>
    <row r="19" spans="1:29" s="25" customFormat="1" ht="26.25" customHeight="1">
      <c r="A19" s="159"/>
      <c r="B19" s="160"/>
      <c r="C19" s="160"/>
      <c r="D19" s="176"/>
      <c r="E19" s="176"/>
      <c r="F19" s="177" t="s">
        <v>37</v>
      </c>
      <c r="G19" s="154"/>
      <c r="H19" s="26">
        <v>4485</v>
      </c>
      <c r="I19" s="66">
        <v>3778.25</v>
      </c>
      <c r="J19" s="122">
        <f>ROUND(I19/'第５表 '!I$28*100,1)</f>
        <v>1.1</v>
      </c>
      <c r="K19" s="123">
        <f t="shared" si="0"/>
        <v>-15.8</v>
      </c>
      <c r="L19" s="198">
        <f>ROUND(((100+K19)/(100)-1)*100,1)</f>
        <v>-15.8</v>
      </c>
      <c r="M19" s="70">
        <v>5149</v>
      </c>
      <c r="N19" s="201">
        <v>5084</v>
      </c>
      <c r="O19" s="122">
        <f>ROUND(N19/'第５表 '!N$28*100,1)</f>
        <v>1.6</v>
      </c>
      <c r="P19" s="198">
        <f t="shared" si="1"/>
        <v>-1.3</v>
      </c>
      <c r="Q19" s="305">
        <f>ROUND(((100+P19)/(100+0.7)-1)*100,1)</f>
        <v>-2</v>
      </c>
      <c r="R19" s="32">
        <v>4631</v>
      </c>
      <c r="S19" s="28">
        <v>3959.9166666666665</v>
      </c>
      <c r="T19" s="122">
        <f>ROUND(S19/'第５表 '!S$28*100,1)</f>
        <v>1.3</v>
      </c>
      <c r="U19" s="123">
        <f t="shared" si="2"/>
        <v>-14.5</v>
      </c>
      <c r="V19" s="334">
        <f>ROUND(((100+U19)/(100)-1)*100,1)</f>
        <v>-14.5</v>
      </c>
      <c r="W19" s="205">
        <v>5048</v>
      </c>
      <c r="X19" s="201">
        <v>5023</v>
      </c>
      <c r="Y19" s="181">
        <f>ROUND(X19/'第５表 '!X$28*100,1)</f>
        <v>1.7</v>
      </c>
      <c r="Z19" s="198">
        <f t="shared" si="3"/>
        <v>-0.5</v>
      </c>
      <c r="AA19" s="305">
        <f>ROUND(((100+Z19)/(100+0.7)-1)*100,1)</f>
        <v>-1.2</v>
      </c>
      <c r="AB19" s="187"/>
      <c r="AC19" s="187"/>
    </row>
    <row r="20" spans="1:29" s="25" customFormat="1" ht="26.25" customHeight="1">
      <c r="A20" s="159"/>
      <c r="B20" s="160" t="s">
        <v>2</v>
      </c>
      <c r="C20" s="160"/>
      <c r="D20" s="11" t="s">
        <v>38</v>
      </c>
      <c r="E20" s="11"/>
      <c r="F20" s="196"/>
      <c r="G20" s="196"/>
      <c r="H20" s="81">
        <v>9531</v>
      </c>
      <c r="I20" s="82">
        <v>11192.75</v>
      </c>
      <c r="J20" s="94">
        <f>ROUND(I20/'第５表 '!I$28*100,1)</f>
        <v>3.3</v>
      </c>
      <c r="K20" s="84">
        <f t="shared" si="0"/>
        <v>17.4</v>
      </c>
      <c r="L20" s="204">
        <f>ROUND(((100+K20)/(100+2.2)-1)*100,1)</f>
        <v>14.9</v>
      </c>
      <c r="M20" s="85">
        <v>10501</v>
      </c>
      <c r="N20" s="199">
        <v>10152</v>
      </c>
      <c r="O20" s="94">
        <f>ROUND(N20/'第５表 '!N$28*100,1)</f>
        <v>3.2</v>
      </c>
      <c r="P20" s="204">
        <f t="shared" si="1"/>
        <v>-3.3</v>
      </c>
      <c r="Q20" s="307">
        <f>ROUND(((100+P20)/(100-2.2)-1)*100,1)</f>
        <v>-1.1</v>
      </c>
      <c r="R20" s="88">
        <v>9349</v>
      </c>
      <c r="S20" s="89">
        <v>10810.916666666666</v>
      </c>
      <c r="T20" s="94">
        <f>ROUND(S20/'第５表 '!S$28*100,1)</f>
        <v>3.5</v>
      </c>
      <c r="U20" s="84">
        <f t="shared" si="2"/>
        <v>15.6</v>
      </c>
      <c r="V20" s="336">
        <f>ROUND(((100+U20)/(100+2.2)-1)*100,1)</f>
        <v>13.1</v>
      </c>
      <c r="W20" s="209">
        <v>9984</v>
      </c>
      <c r="X20" s="210">
        <v>9975</v>
      </c>
      <c r="Y20" s="166">
        <f>ROUND(X20/'第５表 '!X$28*100,1)</f>
        <v>3.4</v>
      </c>
      <c r="Z20" s="204">
        <f t="shared" si="3"/>
        <v>-0.1</v>
      </c>
      <c r="AA20" s="307">
        <f>ROUND(((100+Z20)/(100-2.2)-1)*100,1)</f>
        <v>2.1</v>
      </c>
      <c r="AB20" s="187"/>
      <c r="AC20" s="187"/>
    </row>
    <row r="21" spans="1:29" s="25" customFormat="1" ht="26.25" customHeight="1">
      <c r="A21" s="159"/>
      <c r="B21" s="160"/>
      <c r="C21" s="160"/>
      <c r="D21" s="11"/>
      <c r="E21" s="164"/>
      <c r="F21" s="200" t="s">
        <v>39</v>
      </c>
      <c r="G21" s="168"/>
      <c r="H21" s="99">
        <v>3310</v>
      </c>
      <c r="I21" s="100">
        <v>3852.1666666666665</v>
      </c>
      <c r="J21" s="101">
        <f>ROUND(I21/'第５表 '!I$28*100,1)</f>
        <v>1.2</v>
      </c>
      <c r="K21" s="112">
        <f t="shared" si="0"/>
        <v>16.4</v>
      </c>
      <c r="L21" s="202">
        <f>ROUND(((100+K21)/(100+4.9)-1)*100,1)</f>
        <v>11</v>
      </c>
      <c r="M21" s="103">
        <v>3465</v>
      </c>
      <c r="N21" s="210">
        <v>3218</v>
      </c>
      <c r="O21" s="101">
        <f>ROUND(N21/'第５表 '!N$28*100,1)</f>
        <v>1</v>
      </c>
      <c r="P21" s="202">
        <f t="shared" si="1"/>
        <v>-7.1</v>
      </c>
      <c r="Q21" s="306">
        <f>ROUND(((100+P21)/(100-5.5)-1)*100,1)</f>
        <v>-1.7</v>
      </c>
      <c r="R21" s="106">
        <v>3131</v>
      </c>
      <c r="S21" s="58">
        <v>3588.75</v>
      </c>
      <c r="T21" s="101">
        <f>ROUND(S21/'第５表 '!S$28*100,1)</f>
        <v>1.2</v>
      </c>
      <c r="U21" s="112">
        <f t="shared" si="2"/>
        <v>14.6</v>
      </c>
      <c r="V21" s="335">
        <f>ROUND(((100+U21)/(100+4.9)-1)*100,1)</f>
        <v>9.2</v>
      </c>
      <c r="W21" s="206">
        <v>3182</v>
      </c>
      <c r="X21" s="210">
        <v>3252</v>
      </c>
      <c r="Y21" s="170">
        <f>ROUND(X21/'第５表 '!X$28*100,1)</f>
        <v>1.1</v>
      </c>
      <c r="Z21" s="202">
        <f t="shared" si="3"/>
        <v>2.2</v>
      </c>
      <c r="AA21" s="306">
        <f>ROUND(((100+Z21)/(100-5.5)-1)*100,1)</f>
        <v>8.1</v>
      </c>
      <c r="AB21" s="187"/>
      <c r="AC21" s="187"/>
    </row>
    <row r="22" spans="1:29" s="25" customFormat="1" ht="26.25" customHeight="1">
      <c r="A22" s="159"/>
      <c r="B22" s="160"/>
      <c r="C22" s="160"/>
      <c r="D22" s="11"/>
      <c r="E22" s="167"/>
      <c r="F22" s="98" t="s">
        <v>40</v>
      </c>
      <c r="G22" s="6"/>
      <c r="H22" s="109">
        <v>312</v>
      </c>
      <c r="I22" s="110">
        <v>595.1666666666666</v>
      </c>
      <c r="J22" s="111">
        <f>ROUND(I22/'第５表 '!I$28*100,1)</f>
        <v>0.2</v>
      </c>
      <c r="K22" s="112">
        <f t="shared" si="0"/>
        <v>90.8</v>
      </c>
      <c r="L22" s="207">
        <f>ROUND(((100+K22)/(100-0.6)-1)*100,1)</f>
        <v>92</v>
      </c>
      <c r="M22" s="113">
        <v>770</v>
      </c>
      <c r="N22" s="201">
        <v>753</v>
      </c>
      <c r="O22" s="111">
        <f>ROUND(N22/'第５表 '!N$28*100,1)</f>
        <v>0.2</v>
      </c>
      <c r="P22" s="207">
        <f t="shared" si="1"/>
        <v>-2.2</v>
      </c>
      <c r="Q22" s="308">
        <f>ROUND(((100+P22)/(100-2.7)-1)*100,1)</f>
        <v>0.5</v>
      </c>
      <c r="R22" s="116">
        <v>625</v>
      </c>
      <c r="S22" s="117">
        <v>618.3333333333334</v>
      </c>
      <c r="T22" s="111">
        <f>ROUND(S22/'第５表 '!S$28*100,1)</f>
        <v>0.2</v>
      </c>
      <c r="U22" s="112">
        <f t="shared" si="2"/>
        <v>-1.1</v>
      </c>
      <c r="V22" s="337">
        <f>ROUND(((100+U22)/(100-0.6)-1)*100,1)</f>
        <v>-0.5</v>
      </c>
      <c r="W22" s="208">
        <v>811</v>
      </c>
      <c r="X22" s="211">
        <v>772</v>
      </c>
      <c r="Y22" s="172">
        <f>ROUND(X22/'第５表 '!X$28*100,1)</f>
        <v>0.3</v>
      </c>
      <c r="Z22" s="207">
        <f t="shared" si="3"/>
        <v>-4.8</v>
      </c>
      <c r="AA22" s="308">
        <f>ROUND(((100+Z22)/(100-2.7)-1)*100,1)</f>
        <v>-2.2</v>
      </c>
      <c r="AB22" s="187"/>
      <c r="AC22" s="187"/>
    </row>
    <row r="23" spans="1:29" s="25" customFormat="1" ht="26.25" customHeight="1">
      <c r="A23" s="159"/>
      <c r="B23" s="160"/>
      <c r="C23" s="160"/>
      <c r="D23" s="11"/>
      <c r="E23" s="167"/>
      <c r="F23" s="98" t="s">
        <v>113</v>
      </c>
      <c r="G23" s="6"/>
      <c r="H23" s="109">
        <v>386</v>
      </c>
      <c r="I23" s="110">
        <v>729</v>
      </c>
      <c r="J23" s="111">
        <f>ROUND(I23/'第５表 '!I$28*100,1)</f>
        <v>0.2</v>
      </c>
      <c r="K23" s="112">
        <f t="shared" si="0"/>
        <v>88.9</v>
      </c>
      <c r="L23" s="207">
        <f>ROUND(((100+K23)/(100+0.8)-1)*100,1)</f>
        <v>87.4</v>
      </c>
      <c r="M23" s="113">
        <v>756</v>
      </c>
      <c r="N23" s="201">
        <v>685</v>
      </c>
      <c r="O23" s="111">
        <f>ROUND(N23/'第５表 '!N$28*100,1)</f>
        <v>0.2</v>
      </c>
      <c r="P23" s="207">
        <f t="shared" si="1"/>
        <v>-9.4</v>
      </c>
      <c r="Q23" s="308">
        <f>ROUND(((100+P23)/(100-2.6)-1)*100,1)</f>
        <v>-7</v>
      </c>
      <c r="R23" s="116">
        <v>480</v>
      </c>
      <c r="S23" s="117">
        <v>847.0833333333334</v>
      </c>
      <c r="T23" s="111">
        <f>ROUND(S23/'第５表 '!S$28*100,1)</f>
        <v>0.3</v>
      </c>
      <c r="U23" s="112">
        <f t="shared" si="2"/>
        <v>76.5</v>
      </c>
      <c r="V23" s="337">
        <f>ROUND(((100+U23)/(100+0.8)-1)*100,1)</f>
        <v>75.1</v>
      </c>
      <c r="W23" s="208">
        <v>742</v>
      </c>
      <c r="X23" s="201">
        <v>655</v>
      </c>
      <c r="Y23" s="172">
        <f>ROUND(X23/'第５表 '!X$28*100,1)</f>
        <v>0.2</v>
      </c>
      <c r="Z23" s="207">
        <f t="shared" si="3"/>
        <v>-11.7</v>
      </c>
      <c r="AA23" s="308">
        <f>ROUND(((100+Z23)/(100-2.6)-1)*100,1)</f>
        <v>-9.3</v>
      </c>
      <c r="AB23" s="187"/>
      <c r="AC23" s="187"/>
    </row>
    <row r="24" spans="1:29" s="25" customFormat="1" ht="26.25" customHeight="1">
      <c r="A24" s="159"/>
      <c r="B24" s="160"/>
      <c r="C24" s="160"/>
      <c r="D24" s="11"/>
      <c r="E24" s="167"/>
      <c r="F24" s="98" t="s">
        <v>114</v>
      </c>
      <c r="G24" s="6"/>
      <c r="H24" s="109">
        <v>1681</v>
      </c>
      <c r="I24" s="110">
        <v>2138</v>
      </c>
      <c r="J24" s="111">
        <f>ROUND(I24/'第５表 '!I$28*100,1)</f>
        <v>0.6</v>
      </c>
      <c r="K24" s="112">
        <f t="shared" si="0"/>
        <v>27.2</v>
      </c>
      <c r="L24" s="207">
        <f>ROUND(((100+K24)/(100+2.2)-1)*100,1)</f>
        <v>24.5</v>
      </c>
      <c r="M24" s="113">
        <v>2244</v>
      </c>
      <c r="N24" s="212">
        <v>2251</v>
      </c>
      <c r="O24" s="111">
        <f>ROUND(N24/'第５表 '!N$28*100,1)</f>
        <v>0.7</v>
      </c>
      <c r="P24" s="207">
        <f t="shared" si="1"/>
        <v>0.3</v>
      </c>
      <c r="Q24" s="308">
        <f>ROUND(((100+P24)/(100)-1)*100,1)</f>
        <v>0.3</v>
      </c>
      <c r="R24" s="116">
        <v>1785</v>
      </c>
      <c r="S24" s="117">
        <v>1892.75</v>
      </c>
      <c r="T24" s="111">
        <f>ROUND(S24/'第５表 '!S$28*100,1)</f>
        <v>0.6</v>
      </c>
      <c r="U24" s="112">
        <f aca="true" t="shared" si="4" ref="U24:U38">ROUND((S24-R24)/R24*100,1)</f>
        <v>6</v>
      </c>
      <c r="V24" s="207">
        <f>ROUND(((100+U24)/(100+2.2)-1)*100,1)</f>
        <v>3.7</v>
      </c>
      <c r="W24" s="113">
        <v>2048</v>
      </c>
      <c r="X24" s="201">
        <v>2044</v>
      </c>
      <c r="Y24" s="172">
        <f>ROUND(X24/'第５表 '!X$28*100,1)</f>
        <v>0.7</v>
      </c>
      <c r="Z24" s="207">
        <f t="shared" si="3"/>
        <v>-0.2</v>
      </c>
      <c r="AA24" s="308">
        <f>ROUND(((100+Z24)/(100)-1)*100,1)</f>
        <v>-0.2</v>
      </c>
      <c r="AB24" s="187"/>
      <c r="AC24" s="187"/>
    </row>
    <row r="25" spans="1:29" s="25" customFormat="1" ht="26.25" customHeight="1">
      <c r="A25" s="159"/>
      <c r="B25" s="160"/>
      <c r="C25" s="160"/>
      <c r="D25" s="11"/>
      <c r="E25" s="167"/>
      <c r="F25" s="98" t="s">
        <v>41</v>
      </c>
      <c r="G25" s="6"/>
      <c r="H25" s="109">
        <v>2261</v>
      </c>
      <c r="I25" s="110">
        <v>2332</v>
      </c>
      <c r="J25" s="111">
        <f>ROUND(I25/'第５表 '!I$28*100,1)</f>
        <v>0.7</v>
      </c>
      <c r="K25" s="112">
        <f t="shared" si="0"/>
        <v>3.1</v>
      </c>
      <c r="L25" s="207">
        <f>ROUND(((100+K25)/(100+2.2)-1)*100,1)</f>
        <v>0.9</v>
      </c>
      <c r="M25" s="113">
        <v>2384</v>
      </c>
      <c r="N25" s="212">
        <v>2430</v>
      </c>
      <c r="O25" s="111">
        <f>ROUND(N25/'第５表 '!N$28*100,1)</f>
        <v>0.8</v>
      </c>
      <c r="P25" s="207">
        <f t="shared" si="1"/>
        <v>1.9</v>
      </c>
      <c r="Q25" s="308">
        <f>ROUND(((100+P25)/(100-0.7)-1)*100,1)</f>
        <v>2.6</v>
      </c>
      <c r="R25" s="116">
        <v>2029</v>
      </c>
      <c r="S25" s="117">
        <v>2198.5833333333335</v>
      </c>
      <c r="T25" s="111">
        <f>ROUND(S25/'第５表 '!S$28*100,1)</f>
        <v>0.7</v>
      </c>
      <c r="U25" s="112">
        <f t="shared" si="4"/>
        <v>8.4</v>
      </c>
      <c r="V25" s="207">
        <f>ROUND(((100+U25)/(100+2.2)-1)*100,1)</f>
        <v>6.1</v>
      </c>
      <c r="W25" s="113">
        <v>2254</v>
      </c>
      <c r="X25" s="201">
        <v>2307</v>
      </c>
      <c r="Y25" s="172">
        <f>ROUND(X25/'第５表 '!X$28*100,1)</f>
        <v>0.8</v>
      </c>
      <c r="Z25" s="207">
        <f t="shared" si="3"/>
        <v>2.4</v>
      </c>
      <c r="AA25" s="308">
        <f>ROUND(((100+Z25)/(100-0.7)-1)*100,1)</f>
        <v>3.1</v>
      </c>
      <c r="AB25" s="187"/>
      <c r="AC25" s="187"/>
    </row>
    <row r="26" spans="1:29" s="25" customFormat="1" ht="26.25" customHeight="1">
      <c r="A26" s="159"/>
      <c r="B26" s="160"/>
      <c r="C26" s="160"/>
      <c r="D26" s="176"/>
      <c r="E26" s="176"/>
      <c r="F26" s="177" t="s">
        <v>42</v>
      </c>
      <c r="G26" s="154"/>
      <c r="H26" s="26">
        <v>1580</v>
      </c>
      <c r="I26" s="213">
        <v>1546.4166666666667</v>
      </c>
      <c r="J26" s="122">
        <f>ROUND(I26/'第５表 '!I$28*100,1)</f>
        <v>0.5</v>
      </c>
      <c r="K26" s="112">
        <f t="shared" si="0"/>
        <v>-2.1</v>
      </c>
      <c r="L26" s="198">
        <f>ROUND(((100+K26)/(100-0.7)-1)*100,1)</f>
        <v>-1.4</v>
      </c>
      <c r="M26" s="214">
        <v>883</v>
      </c>
      <c r="N26" s="215">
        <v>815</v>
      </c>
      <c r="O26" s="122">
        <f>ROUND(N26/'第５表 '!N$28*100,1)</f>
        <v>0.3</v>
      </c>
      <c r="P26" s="198">
        <f t="shared" si="1"/>
        <v>-7.7</v>
      </c>
      <c r="Q26" s="305">
        <f>ROUND(((100+P26)/(100)-1)*100,1)</f>
        <v>-7.7</v>
      </c>
      <c r="R26" s="32">
        <v>1300</v>
      </c>
      <c r="S26" s="28">
        <v>1665.4166666666667</v>
      </c>
      <c r="T26" s="122">
        <f>ROUND(S26/'第５表 '!S$28*100,1)</f>
        <v>0.5</v>
      </c>
      <c r="U26" s="112">
        <f t="shared" si="4"/>
        <v>28.1</v>
      </c>
      <c r="V26" s="198">
        <f>ROUND(((100+U26)/(100-0.7)-1)*100,1)</f>
        <v>29</v>
      </c>
      <c r="W26" s="70">
        <v>949</v>
      </c>
      <c r="X26" s="201">
        <v>946</v>
      </c>
      <c r="Y26" s="181">
        <f>ROUND(X26/'第５表 '!X$28*100,1)</f>
        <v>0.3</v>
      </c>
      <c r="Z26" s="198">
        <f t="shared" si="3"/>
        <v>-0.3</v>
      </c>
      <c r="AA26" s="305">
        <f>ROUND(((100+Z26)/(100)-1)*100,1)</f>
        <v>-0.3</v>
      </c>
      <c r="AB26" s="187"/>
      <c r="AC26" s="187"/>
    </row>
    <row r="27" spans="1:29" s="25" customFormat="1" ht="26.25" customHeight="1">
      <c r="A27" s="159"/>
      <c r="B27" s="160"/>
      <c r="C27" s="160"/>
      <c r="D27" s="11" t="s">
        <v>43</v>
      </c>
      <c r="E27" s="11"/>
      <c r="F27" s="196"/>
      <c r="G27" s="196"/>
      <c r="H27" s="81">
        <v>10592</v>
      </c>
      <c r="I27" s="82">
        <v>11951.75</v>
      </c>
      <c r="J27" s="94">
        <f>ROUND(I27/'第５表 '!I$28*100,1)</f>
        <v>3.6</v>
      </c>
      <c r="K27" s="102">
        <f t="shared" si="0"/>
        <v>12.8</v>
      </c>
      <c r="L27" s="204">
        <f>ROUND(((100+K27)/(100+4)-1)*100,1)</f>
        <v>8.5</v>
      </c>
      <c r="M27" s="85">
        <v>14263</v>
      </c>
      <c r="N27" s="210">
        <v>13773</v>
      </c>
      <c r="O27" s="94">
        <f>ROUND(N27/'第５表 '!N$28*100,1)</f>
        <v>4.3</v>
      </c>
      <c r="P27" s="204">
        <f t="shared" si="1"/>
        <v>-3.4</v>
      </c>
      <c r="Q27" s="307">
        <f>ROUND(((100+P27)/(100-0.9)-1)*100,1)</f>
        <v>-2.5</v>
      </c>
      <c r="R27" s="88">
        <v>11287</v>
      </c>
      <c r="S27" s="89">
        <v>11364.333333333334</v>
      </c>
      <c r="T27" s="94">
        <f>ROUND(S27/'第５表 '!S$28*100,1)</f>
        <v>3.7</v>
      </c>
      <c r="U27" s="102">
        <f t="shared" si="4"/>
        <v>0.7</v>
      </c>
      <c r="V27" s="204">
        <f>ROUND(((100+U27)/(100+4)-1)*100,1)</f>
        <v>-3.2</v>
      </c>
      <c r="W27" s="85">
        <v>12523</v>
      </c>
      <c r="X27" s="199">
        <v>11994</v>
      </c>
      <c r="Y27" s="166">
        <f>ROUND(X27/'第５表 '!X$28*100,1)</f>
        <v>4.1</v>
      </c>
      <c r="Z27" s="204">
        <f t="shared" si="3"/>
        <v>-4.2</v>
      </c>
      <c r="AA27" s="307">
        <f>ROUND(((100+Z27)/(100-0.9)-1)*100,1)</f>
        <v>-3.3</v>
      </c>
      <c r="AB27" s="187"/>
      <c r="AC27" s="187"/>
    </row>
    <row r="28" spans="1:29" s="25" customFormat="1" ht="26.25" customHeight="1">
      <c r="A28" s="159"/>
      <c r="B28" s="160"/>
      <c r="C28" s="160"/>
      <c r="D28" s="11"/>
      <c r="E28" s="164"/>
      <c r="F28" s="200" t="s">
        <v>44</v>
      </c>
      <c r="G28" s="168"/>
      <c r="H28" s="99">
        <v>11</v>
      </c>
      <c r="I28" s="100">
        <v>161.83333333333334</v>
      </c>
      <c r="J28" s="101">
        <f>ROUND(I28/'第５表 '!I$28*100,1)</f>
        <v>0</v>
      </c>
      <c r="K28" s="233">
        <f>ROUND((I28-H28)/H28*100,1)</f>
        <v>1371.2</v>
      </c>
      <c r="L28" s="202">
        <f>ROUND(((100+K28)/(100)-1)*100,1)</f>
        <v>1371.2</v>
      </c>
      <c r="M28" s="103">
        <v>328</v>
      </c>
      <c r="N28" s="210">
        <v>265</v>
      </c>
      <c r="O28" s="101">
        <f>ROUND(N28/'第５表 '!N$28*100,1)</f>
        <v>0.1</v>
      </c>
      <c r="P28" s="202">
        <f t="shared" si="1"/>
        <v>-19.2</v>
      </c>
      <c r="Q28" s="306">
        <f>ROUND(((100+P28)/(100-0.8)-1)*100,1)</f>
        <v>-18.5</v>
      </c>
      <c r="R28" s="106">
        <v>338</v>
      </c>
      <c r="S28" s="58">
        <v>264.1666666666667</v>
      </c>
      <c r="T28" s="101">
        <f>ROUND(S28/'第５表 '!S$28*100,1)</f>
        <v>0.1</v>
      </c>
      <c r="U28" s="102">
        <f t="shared" si="4"/>
        <v>-21.8</v>
      </c>
      <c r="V28" s="202">
        <f>ROUND(((100+U28)/(100)-1)*100,1)</f>
        <v>-21.8</v>
      </c>
      <c r="W28" s="103">
        <v>299</v>
      </c>
      <c r="X28" s="201">
        <v>261</v>
      </c>
      <c r="Y28" s="170">
        <f>ROUND(X28/'第５表 '!X$28*100,1)</f>
        <v>0.1</v>
      </c>
      <c r="Z28" s="202">
        <f t="shared" si="3"/>
        <v>-12.7</v>
      </c>
      <c r="AA28" s="306">
        <f>ROUND(((100+Z28)/(100-0.8)-1)*100,1)</f>
        <v>-12</v>
      </c>
      <c r="AB28" s="187"/>
      <c r="AC28" s="187"/>
    </row>
    <row r="29" spans="1:29" s="25" customFormat="1" ht="26.25" customHeight="1">
      <c r="A29" s="159"/>
      <c r="B29" s="160"/>
      <c r="C29" s="160"/>
      <c r="D29" s="11"/>
      <c r="E29" s="167"/>
      <c r="F29" s="98" t="s">
        <v>45</v>
      </c>
      <c r="G29" s="6"/>
      <c r="H29" s="109">
        <v>3817</v>
      </c>
      <c r="I29" s="110">
        <v>4258.416666666667</v>
      </c>
      <c r="J29" s="111">
        <f>ROUND(I29/'第５表 '!I$28*100,1)</f>
        <v>1.3</v>
      </c>
      <c r="K29" s="112">
        <f t="shared" si="0"/>
        <v>11.6</v>
      </c>
      <c r="L29" s="207">
        <f>ROUND(((100+K29)/(100+2.9)-1)*100,1)</f>
        <v>8.5</v>
      </c>
      <c r="M29" s="113">
        <v>5754</v>
      </c>
      <c r="N29" s="201">
        <v>5512</v>
      </c>
      <c r="O29" s="111">
        <f>ROUND(N29/'第５表 '!N$28*100,1)</f>
        <v>1.7</v>
      </c>
      <c r="P29" s="207">
        <f t="shared" si="1"/>
        <v>-4.2</v>
      </c>
      <c r="Q29" s="308">
        <f>ROUND(((100+P29)/(100-1.4)-1)*100,1)</f>
        <v>-2.8</v>
      </c>
      <c r="R29" s="116">
        <v>3696</v>
      </c>
      <c r="S29" s="117">
        <v>3806.1666666666665</v>
      </c>
      <c r="T29" s="111">
        <f>ROUND(S29/'第５表 '!S$28*100,1)</f>
        <v>1.2</v>
      </c>
      <c r="U29" s="112">
        <f t="shared" si="4"/>
        <v>3</v>
      </c>
      <c r="V29" s="207">
        <f>ROUND(((100+U29)/(100+2.9)-1)*100,1)</f>
        <v>0.1</v>
      </c>
      <c r="W29" s="113">
        <v>4890</v>
      </c>
      <c r="X29" s="201">
        <v>4622</v>
      </c>
      <c r="Y29" s="172">
        <f>ROUND(X29/'第５表 '!X$28*100,1)</f>
        <v>1.6</v>
      </c>
      <c r="Z29" s="207">
        <f t="shared" si="3"/>
        <v>-5.5</v>
      </c>
      <c r="AA29" s="308">
        <f>ROUND(((100+Z29)/(100-1.4)-1)*100,1)</f>
        <v>-4.2</v>
      </c>
      <c r="AB29" s="187"/>
      <c r="AC29" s="187"/>
    </row>
    <row r="30" spans="1:29" s="25" customFormat="1" ht="26.25" customHeight="1">
      <c r="A30" s="159"/>
      <c r="B30" s="160"/>
      <c r="C30" s="160"/>
      <c r="D30" s="11"/>
      <c r="E30" s="167"/>
      <c r="F30" s="98" t="s">
        <v>46</v>
      </c>
      <c r="G30" s="6"/>
      <c r="H30" s="109">
        <v>2057</v>
      </c>
      <c r="I30" s="110">
        <v>2624.1666666666665</v>
      </c>
      <c r="J30" s="111">
        <f>ROUND(I30/'第５表 '!I$28*100,1)</f>
        <v>0.8</v>
      </c>
      <c r="K30" s="112">
        <f t="shared" si="0"/>
        <v>27.6</v>
      </c>
      <c r="L30" s="207">
        <f>ROUND(((100+K30)/(100+11.7)-1)*100,1)</f>
        <v>14.2</v>
      </c>
      <c r="M30" s="113">
        <v>2822</v>
      </c>
      <c r="N30" s="201">
        <v>2715</v>
      </c>
      <c r="O30" s="111">
        <f>ROUND(N30/'第５表 '!N$28*100,1)</f>
        <v>0.9</v>
      </c>
      <c r="P30" s="207">
        <f t="shared" si="1"/>
        <v>-3.8</v>
      </c>
      <c r="Q30" s="308">
        <f>ROUND(((100+P30)/(100-1)-1)*100,1)</f>
        <v>-2.8</v>
      </c>
      <c r="R30" s="116">
        <v>2361</v>
      </c>
      <c r="S30" s="117">
        <v>2619.0833333333335</v>
      </c>
      <c r="T30" s="111">
        <f>ROUND(S30/'第５表 '!S$28*100,1)</f>
        <v>0.8</v>
      </c>
      <c r="U30" s="112">
        <f t="shared" si="4"/>
        <v>10.9</v>
      </c>
      <c r="V30" s="207">
        <f>ROUND(((100+U30)/(100+11.7)-1)*100,1)</f>
        <v>-0.7</v>
      </c>
      <c r="W30" s="113">
        <v>2598</v>
      </c>
      <c r="X30" s="201">
        <v>2468</v>
      </c>
      <c r="Y30" s="172">
        <f>ROUND(X30/'第５表 '!X$28*100,1)</f>
        <v>0.8</v>
      </c>
      <c r="Z30" s="207">
        <f t="shared" si="3"/>
        <v>-5</v>
      </c>
      <c r="AA30" s="308">
        <f>ROUND(((100+Z30)/(100-1)-1)*100,1)</f>
        <v>-4</v>
      </c>
      <c r="AB30" s="187"/>
      <c r="AC30" s="187"/>
    </row>
    <row r="31" spans="1:29" s="25" customFormat="1" ht="26.25" customHeight="1">
      <c r="A31" s="159"/>
      <c r="B31" s="160"/>
      <c r="C31" s="160"/>
      <c r="D31" s="11"/>
      <c r="E31" s="167"/>
      <c r="F31" s="98" t="s">
        <v>47</v>
      </c>
      <c r="G31" s="6"/>
      <c r="H31" s="109">
        <v>1171</v>
      </c>
      <c r="I31" s="110">
        <v>989.4166666666666</v>
      </c>
      <c r="J31" s="111">
        <f>ROUND(I31/'第５表 '!I$28*100,1)</f>
        <v>0.3</v>
      </c>
      <c r="K31" s="112">
        <f t="shared" si="0"/>
        <v>-15.5</v>
      </c>
      <c r="L31" s="207">
        <f>ROUND(((100+K31)/(100+0.4)-1)*100,1)</f>
        <v>-15.8</v>
      </c>
      <c r="M31" s="113">
        <v>1209</v>
      </c>
      <c r="N31" s="201">
        <v>1155</v>
      </c>
      <c r="O31" s="111">
        <f>ROUND(N31/'第５表 '!N$28*100,1)</f>
        <v>0.4</v>
      </c>
      <c r="P31" s="207">
        <f t="shared" si="1"/>
        <v>-4.5</v>
      </c>
      <c r="Q31" s="308">
        <f>ROUND(((100+P31)/(100-0.2)-1)*100,1)</f>
        <v>-4.3</v>
      </c>
      <c r="R31" s="116">
        <v>1186</v>
      </c>
      <c r="S31" s="117">
        <v>1054.9166666666667</v>
      </c>
      <c r="T31" s="111">
        <f>ROUND(S31/'第５表 '!S$28*100,1)</f>
        <v>0.3</v>
      </c>
      <c r="U31" s="112">
        <f t="shared" si="4"/>
        <v>-11.1</v>
      </c>
      <c r="V31" s="207">
        <f>ROUND(((100+U31)/(100+0.4)-1)*100,1)</f>
        <v>-11.5</v>
      </c>
      <c r="W31" s="113">
        <v>1133</v>
      </c>
      <c r="X31" s="201">
        <v>1098</v>
      </c>
      <c r="Y31" s="172">
        <f>ROUND(X31/'第５表 '!X$28*100,1)</f>
        <v>0.4</v>
      </c>
      <c r="Z31" s="207">
        <f t="shared" si="3"/>
        <v>-3.1</v>
      </c>
      <c r="AA31" s="308">
        <f>ROUND(((100+Z31)/(100-0.2)-1)*100,1)</f>
        <v>-2.9</v>
      </c>
      <c r="AB31" s="187"/>
      <c r="AC31" s="187"/>
    </row>
    <row r="32" spans="1:29" s="25" customFormat="1" ht="26.25" customHeight="1">
      <c r="A32" s="159"/>
      <c r="B32" s="160"/>
      <c r="C32" s="160"/>
      <c r="D32" s="11"/>
      <c r="E32" s="167"/>
      <c r="F32" s="98" t="s">
        <v>48</v>
      </c>
      <c r="G32" s="6"/>
      <c r="H32" s="109">
        <v>129</v>
      </c>
      <c r="I32" s="110">
        <v>156</v>
      </c>
      <c r="J32" s="111">
        <f>ROUND(I32/'第５表 '!I$28*100,1)</f>
        <v>0</v>
      </c>
      <c r="K32" s="112">
        <f t="shared" si="0"/>
        <v>20.9</v>
      </c>
      <c r="L32" s="304" t="s">
        <v>132</v>
      </c>
      <c r="M32" s="113">
        <v>163</v>
      </c>
      <c r="N32" s="201">
        <v>153</v>
      </c>
      <c r="O32" s="111">
        <f>ROUND(N32/'第５表 '!N$28*100,1)</f>
        <v>0</v>
      </c>
      <c r="P32" s="207">
        <f t="shared" si="1"/>
        <v>-6.1</v>
      </c>
      <c r="Q32" s="309" t="s">
        <v>132</v>
      </c>
      <c r="R32" s="116">
        <v>321</v>
      </c>
      <c r="S32" s="117">
        <v>164.66666666666666</v>
      </c>
      <c r="T32" s="111">
        <f>ROUND(S32/'第５表 '!S$28*100,1)</f>
        <v>0.1</v>
      </c>
      <c r="U32" s="112">
        <f t="shared" si="4"/>
        <v>-48.7</v>
      </c>
      <c r="V32" s="304" t="s">
        <v>132</v>
      </c>
      <c r="W32" s="113">
        <v>162</v>
      </c>
      <c r="X32" s="201">
        <v>161</v>
      </c>
      <c r="Y32" s="172">
        <f>ROUND(X32/'第５表 '!X$28*100,1)</f>
        <v>0.1</v>
      </c>
      <c r="Z32" s="207">
        <f t="shared" si="3"/>
        <v>-0.6</v>
      </c>
      <c r="AA32" s="309" t="s">
        <v>132</v>
      </c>
      <c r="AB32" s="187"/>
      <c r="AC32" s="187"/>
    </row>
    <row r="33" spans="1:29" s="25" customFormat="1" ht="26.25" customHeight="1">
      <c r="A33" s="159"/>
      <c r="B33" s="160"/>
      <c r="C33" s="160"/>
      <c r="D33" s="11"/>
      <c r="E33" s="167"/>
      <c r="F33" s="98" t="s">
        <v>49</v>
      </c>
      <c r="G33" s="6"/>
      <c r="H33" s="109">
        <v>787</v>
      </c>
      <c r="I33" s="110">
        <v>1057.1666666666667</v>
      </c>
      <c r="J33" s="111">
        <f>ROUND(I33/'第５表 '!I$28*100,1)</f>
        <v>0.3</v>
      </c>
      <c r="K33" s="112">
        <f t="shared" si="0"/>
        <v>34.3</v>
      </c>
      <c r="L33" s="207">
        <f>ROUND(((100+K33)/(100+0.7)-1)*100,1)</f>
        <v>33.4</v>
      </c>
      <c r="M33" s="113">
        <v>1155</v>
      </c>
      <c r="N33" s="201">
        <v>1150</v>
      </c>
      <c r="O33" s="111">
        <f>ROUND(N33/'第５表 '!N$28*100,1)</f>
        <v>0.4</v>
      </c>
      <c r="P33" s="207">
        <f t="shared" si="1"/>
        <v>-0.4</v>
      </c>
      <c r="Q33" s="308">
        <f>ROUND(((100+P33)/(100-1.1)-1)*100,1)</f>
        <v>0.7</v>
      </c>
      <c r="R33" s="116">
        <v>838</v>
      </c>
      <c r="S33" s="117">
        <v>986.3333333333334</v>
      </c>
      <c r="T33" s="111">
        <f>ROUND(S33/'第５表 '!S$28*100,1)</f>
        <v>0.3</v>
      </c>
      <c r="U33" s="112">
        <f t="shared" si="4"/>
        <v>17.7</v>
      </c>
      <c r="V33" s="207">
        <f>ROUND(((100+U33)/(100+0.7)-1)*100,1)</f>
        <v>16.9</v>
      </c>
      <c r="W33" s="113">
        <v>994</v>
      </c>
      <c r="X33" s="201">
        <v>992</v>
      </c>
      <c r="Y33" s="172">
        <f>ROUND(X33/'第５表 '!X$28*100,1)</f>
        <v>0.3</v>
      </c>
      <c r="Z33" s="207">
        <f t="shared" si="3"/>
        <v>-0.2</v>
      </c>
      <c r="AA33" s="308">
        <f>ROUND(((100+Z33)/(100-1.1)-1)*100,1)</f>
        <v>0.9</v>
      </c>
      <c r="AB33" s="187"/>
      <c r="AC33" s="187"/>
    </row>
    <row r="34" spans="1:29" s="25" customFormat="1" ht="26.25" customHeight="1">
      <c r="A34" s="159"/>
      <c r="B34" s="160"/>
      <c r="C34" s="160"/>
      <c r="D34" s="11"/>
      <c r="E34" s="167"/>
      <c r="F34" s="98" t="s">
        <v>50</v>
      </c>
      <c r="G34" s="6"/>
      <c r="H34" s="109">
        <v>1809</v>
      </c>
      <c r="I34" s="110">
        <v>1638.3333333333333</v>
      </c>
      <c r="J34" s="111">
        <f>ROUND(I34/'第５表 '!I$28*100,1)</f>
        <v>0.5</v>
      </c>
      <c r="K34" s="112">
        <f t="shared" si="0"/>
        <v>-9.4</v>
      </c>
      <c r="L34" s="207">
        <f>ROUND(((100+K34)/(100-2.4)-1)*100,1)</f>
        <v>-7.2</v>
      </c>
      <c r="M34" s="113">
        <v>1836</v>
      </c>
      <c r="N34" s="201">
        <v>1898</v>
      </c>
      <c r="O34" s="111">
        <f>ROUND(N34/'第５表 '!N$28*100,1)</f>
        <v>0.6</v>
      </c>
      <c r="P34" s="207">
        <f t="shared" si="1"/>
        <v>3.4</v>
      </c>
      <c r="Q34" s="308">
        <f>ROUND(((100+P34)/(100+0.2)-1)*100,1)</f>
        <v>3.2</v>
      </c>
      <c r="R34" s="116">
        <v>1602</v>
      </c>
      <c r="S34" s="117">
        <v>1408.8333333333333</v>
      </c>
      <c r="T34" s="111">
        <f>ROUND(S34/'第５表 '!S$28*100,1)</f>
        <v>0.5</v>
      </c>
      <c r="U34" s="112">
        <f t="shared" si="4"/>
        <v>-12.1</v>
      </c>
      <c r="V34" s="207">
        <f>ROUND(((100+U34)/(100-2.4)-1)*100,1)</f>
        <v>-9.9</v>
      </c>
      <c r="W34" s="113">
        <v>1527</v>
      </c>
      <c r="X34" s="201">
        <v>1542</v>
      </c>
      <c r="Y34" s="172">
        <f>ROUND(X34/'第５表 '!X$28*100,1)</f>
        <v>0.5</v>
      </c>
      <c r="Z34" s="207">
        <f t="shared" si="3"/>
        <v>1</v>
      </c>
      <c r="AA34" s="308">
        <f>ROUND(((100+Z34)/(100+0.2)-1)*100,1)</f>
        <v>0.8</v>
      </c>
      <c r="AB34" s="187"/>
      <c r="AC34" s="187"/>
    </row>
    <row r="35" spans="1:29" s="25" customFormat="1" ht="26.25" customHeight="1">
      <c r="A35" s="159"/>
      <c r="B35" s="160"/>
      <c r="C35" s="160"/>
      <c r="D35" s="176"/>
      <c r="E35" s="176"/>
      <c r="F35" s="177" t="s">
        <v>51</v>
      </c>
      <c r="G35" s="154"/>
      <c r="H35" s="26">
        <v>810</v>
      </c>
      <c r="I35" s="66">
        <v>1066.25</v>
      </c>
      <c r="J35" s="122">
        <f>ROUND(I35/'第５表 '!I$28*100,1)</f>
        <v>0.3</v>
      </c>
      <c r="K35" s="112">
        <f t="shared" si="0"/>
        <v>31.6</v>
      </c>
      <c r="L35" s="198">
        <f>ROUND(((100+K35)/(100+2.5)-1)*100,1)</f>
        <v>28.4</v>
      </c>
      <c r="M35" s="70">
        <v>996</v>
      </c>
      <c r="N35" s="197">
        <v>926</v>
      </c>
      <c r="O35" s="122">
        <f>ROUND(N35/'第５表 '!N$28*100,1)</f>
        <v>0.3</v>
      </c>
      <c r="P35" s="198">
        <f t="shared" si="1"/>
        <v>-7</v>
      </c>
      <c r="Q35" s="305">
        <f>ROUND(((100+P35)/(100+0.8)-1)*100,1)</f>
        <v>-7.7</v>
      </c>
      <c r="R35" s="32">
        <v>947</v>
      </c>
      <c r="S35" s="28">
        <v>1060</v>
      </c>
      <c r="T35" s="122">
        <f>ROUND(S35/'第５表 '!S$28*100,1)</f>
        <v>0.3</v>
      </c>
      <c r="U35" s="112">
        <f t="shared" si="4"/>
        <v>11.9</v>
      </c>
      <c r="V35" s="198">
        <f>ROUND(((100+U35)/(100+2.5)-1)*100,1)</f>
        <v>9.2</v>
      </c>
      <c r="W35" s="70">
        <v>919</v>
      </c>
      <c r="X35" s="201">
        <v>850</v>
      </c>
      <c r="Y35" s="181">
        <f>ROUND(X35/'第５表 '!X$28*100,1)</f>
        <v>0.3</v>
      </c>
      <c r="Z35" s="198">
        <f t="shared" si="3"/>
        <v>-7.5</v>
      </c>
      <c r="AA35" s="305">
        <f>ROUND(((100+Z35)/(100+0.8)-1)*100,1)</f>
        <v>-8.2</v>
      </c>
      <c r="AB35" s="187"/>
      <c r="AC35" s="188"/>
    </row>
    <row r="36" spans="1:29" s="25" customFormat="1" ht="26.25" customHeight="1">
      <c r="A36" s="159"/>
      <c r="B36" s="160"/>
      <c r="C36" s="160"/>
      <c r="D36" s="11" t="s">
        <v>52</v>
      </c>
      <c r="E36" s="11"/>
      <c r="F36" s="196"/>
      <c r="G36" s="196"/>
      <c r="H36" s="81">
        <v>16294</v>
      </c>
      <c r="I36" s="82">
        <v>14302.083333333334</v>
      </c>
      <c r="J36" s="94">
        <f>ROUND(I36/'第５表 '!I$28*100,1)</f>
        <v>4.3</v>
      </c>
      <c r="K36" s="102">
        <f t="shared" si="0"/>
        <v>-12.2</v>
      </c>
      <c r="L36" s="204">
        <f>ROUND(((100+K36)/(100-0.3)-1)*100,1)</f>
        <v>-11.9</v>
      </c>
      <c r="M36" s="85">
        <v>11593</v>
      </c>
      <c r="N36" s="199">
        <v>12036</v>
      </c>
      <c r="O36" s="94">
        <f>ROUND(N36/'第５表 '!N$28*100,1)</f>
        <v>3.8</v>
      </c>
      <c r="P36" s="204">
        <f t="shared" si="1"/>
        <v>3.8</v>
      </c>
      <c r="Q36" s="307">
        <f>ROUND(((100+P36)/(100-0.1)-1)*100,1)</f>
        <v>3.9</v>
      </c>
      <c r="R36" s="88">
        <v>15457</v>
      </c>
      <c r="S36" s="89">
        <v>14199.083333333334</v>
      </c>
      <c r="T36" s="94">
        <f>ROUND(S36/'第５表 '!S$28*100,1)</f>
        <v>4.6</v>
      </c>
      <c r="U36" s="102">
        <f t="shared" si="4"/>
        <v>-8.1</v>
      </c>
      <c r="V36" s="204">
        <f>ROUND(((100+U36)/(100-0.3)-1)*100,1)</f>
        <v>-7.8</v>
      </c>
      <c r="W36" s="85">
        <v>12649</v>
      </c>
      <c r="X36" s="210">
        <v>13016</v>
      </c>
      <c r="Y36" s="166">
        <f>ROUND(X36/'第５表 '!X$28*100,1)</f>
        <v>4.5</v>
      </c>
      <c r="Z36" s="204">
        <f t="shared" si="3"/>
        <v>2.9</v>
      </c>
      <c r="AA36" s="307">
        <f>ROUND(((100+Z36)/(100-0.1)-1)*100,1)</f>
        <v>3</v>
      </c>
      <c r="AB36" s="187"/>
      <c r="AC36" s="187"/>
    </row>
    <row r="37" spans="1:30" s="25" customFormat="1" ht="26.25" customHeight="1">
      <c r="A37" s="159"/>
      <c r="B37" s="160"/>
      <c r="C37" s="160"/>
      <c r="D37" s="11"/>
      <c r="E37" s="164"/>
      <c r="F37" s="200" t="s">
        <v>53</v>
      </c>
      <c r="G37" s="168"/>
      <c r="H37" s="99">
        <v>1413</v>
      </c>
      <c r="I37" s="100">
        <v>1477.75</v>
      </c>
      <c r="J37" s="101">
        <f>ROUND(I37/'第５表 '!I$28*100,1)</f>
        <v>0.4</v>
      </c>
      <c r="K37" s="102">
        <f t="shared" si="0"/>
        <v>4.6</v>
      </c>
      <c r="L37" s="202">
        <f>ROUND(((100+K37)/(100-0.1)-1)*100,1)</f>
        <v>4.7</v>
      </c>
      <c r="M37" s="103">
        <v>1530</v>
      </c>
      <c r="N37" s="201">
        <v>1792</v>
      </c>
      <c r="O37" s="101">
        <f>ROUND(N37/'第５表 '!N$28*100,1)</f>
        <v>0.6</v>
      </c>
      <c r="P37" s="202">
        <f t="shared" si="1"/>
        <v>17.1</v>
      </c>
      <c r="Q37" s="306">
        <f>ROUND(((100+P37)/(100-2.2)-1)*100,1)</f>
        <v>19.7</v>
      </c>
      <c r="R37" s="106">
        <v>1554</v>
      </c>
      <c r="S37" s="58">
        <v>1526.9166666666667</v>
      </c>
      <c r="T37" s="101">
        <f>ROUND(S37/'第５表 '!S$28*100,1)</f>
        <v>0.5</v>
      </c>
      <c r="U37" s="102">
        <f t="shared" si="4"/>
        <v>-1.7</v>
      </c>
      <c r="V37" s="202">
        <f>ROUND(((100+U37)/(100-0.1)-1)*100,1)</f>
        <v>-1.6</v>
      </c>
      <c r="W37" s="103">
        <v>1749</v>
      </c>
      <c r="X37" s="210">
        <v>2082</v>
      </c>
      <c r="Y37" s="170">
        <f>ROUND(X37/'第５表 '!X$28*100,1)</f>
        <v>0.7</v>
      </c>
      <c r="Z37" s="202">
        <f t="shared" si="3"/>
        <v>19</v>
      </c>
      <c r="AA37" s="306">
        <f>ROUND(((100+Z37)/(100-2.2)-1)*100,1)</f>
        <v>21.7</v>
      </c>
      <c r="AB37" s="188"/>
      <c r="AC37" s="188"/>
      <c r="AD37" s="11"/>
    </row>
    <row r="38" spans="1:29" s="25" customFormat="1" ht="26.25" customHeight="1">
      <c r="A38" s="173"/>
      <c r="B38" s="174"/>
      <c r="C38" s="174"/>
      <c r="D38" s="216"/>
      <c r="E38" s="176"/>
      <c r="F38" s="177" t="s">
        <v>54</v>
      </c>
      <c r="G38" s="154"/>
      <c r="H38" s="26">
        <v>866</v>
      </c>
      <c r="I38" s="66">
        <v>1219</v>
      </c>
      <c r="J38" s="122">
        <f>ROUND(I38/'第５表 '!I$28*100,1)</f>
        <v>0.4</v>
      </c>
      <c r="K38" s="123">
        <f t="shared" si="0"/>
        <v>40.8</v>
      </c>
      <c r="L38" s="326" t="s">
        <v>132</v>
      </c>
      <c r="M38" s="70">
        <v>882</v>
      </c>
      <c r="N38" s="217">
        <v>778</v>
      </c>
      <c r="O38" s="122">
        <f>ROUND(N38/'第５表 '!N$28*100,1)</f>
        <v>0.2</v>
      </c>
      <c r="P38" s="198">
        <f t="shared" si="1"/>
        <v>-11.8</v>
      </c>
      <c r="Q38" s="327" t="s">
        <v>132</v>
      </c>
      <c r="R38" s="32">
        <v>897</v>
      </c>
      <c r="S38" s="28">
        <v>1001.25</v>
      </c>
      <c r="T38" s="122">
        <f>ROUND(S38/'第５表 '!S$28*100,1)</f>
        <v>0.3</v>
      </c>
      <c r="U38" s="123">
        <f t="shared" si="4"/>
        <v>11.6</v>
      </c>
      <c r="V38" s="326" t="s">
        <v>132</v>
      </c>
      <c r="W38" s="70">
        <v>1105</v>
      </c>
      <c r="X38" s="203">
        <v>1069</v>
      </c>
      <c r="Y38" s="181">
        <f>ROUND(X38/'第５表 '!X$28*100,1)</f>
        <v>0.4</v>
      </c>
      <c r="Z38" s="198">
        <f t="shared" si="3"/>
        <v>-3.3</v>
      </c>
      <c r="AA38" s="327" t="s">
        <v>132</v>
      </c>
      <c r="AB38" s="188"/>
      <c r="AC38" s="187"/>
    </row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spans="1:3" ht="23.25" customHeight="1">
      <c r="A49" s="221"/>
      <c r="B49" s="221"/>
      <c r="C49" s="221"/>
    </row>
    <row r="50" ht="23.25" customHeight="1"/>
    <row r="54" spans="20:22" ht="20.25" customHeight="1">
      <c r="T54" s="220"/>
      <c r="V54" s="191"/>
    </row>
    <row r="55" spans="20:22" ht="20.25" customHeight="1">
      <c r="T55" s="220"/>
      <c r="V55" s="191"/>
    </row>
    <row r="56" spans="20:22" ht="20.25" customHeight="1">
      <c r="T56" s="220"/>
      <c r="V56" s="191"/>
    </row>
    <row r="57" spans="20:22" ht="20.25" customHeight="1">
      <c r="T57" s="220"/>
      <c r="V57" s="191"/>
    </row>
    <row r="58" spans="8:29" ht="20.25" customHeight="1">
      <c r="H58" s="222"/>
      <c r="I58" s="222"/>
      <c r="J58" s="223"/>
      <c r="K58" s="223"/>
      <c r="L58" s="223"/>
      <c r="M58" s="224"/>
      <c r="N58" s="223"/>
      <c r="O58" s="223"/>
      <c r="P58" s="223"/>
      <c r="Q58" s="223"/>
      <c r="R58" s="223"/>
      <c r="S58" s="223"/>
      <c r="T58" s="223"/>
      <c r="U58" s="223"/>
      <c r="V58" s="223"/>
      <c r="W58" s="225"/>
      <c r="X58" s="223"/>
      <c r="Y58" s="223"/>
      <c r="Z58" s="223"/>
      <c r="AA58" s="223"/>
      <c r="AB58" s="223"/>
      <c r="AC58" s="223"/>
    </row>
    <row r="59" spans="8:25" ht="25.5" customHeight="1">
      <c r="H59" s="222"/>
      <c r="I59" s="222"/>
      <c r="J59" s="223"/>
      <c r="K59" s="223"/>
      <c r="L59" s="223"/>
      <c r="M59" s="218"/>
      <c r="N59" s="191"/>
      <c r="V59" s="191"/>
      <c r="W59" s="226"/>
      <c r="Y59" s="220"/>
    </row>
    <row r="60" spans="8:25" ht="25.5" customHeight="1">
      <c r="H60" s="223"/>
      <c r="I60" s="222"/>
      <c r="J60" s="223"/>
      <c r="K60" s="223"/>
      <c r="L60" s="223"/>
      <c r="M60" s="218"/>
      <c r="N60" s="191"/>
      <c r="V60" s="191"/>
      <c r="Y60" s="220"/>
    </row>
    <row r="61" spans="8:25" ht="13.5">
      <c r="H61" s="191"/>
      <c r="I61" s="219"/>
      <c r="L61" s="220"/>
      <c r="M61" s="218"/>
      <c r="N61" s="191"/>
      <c r="V61" s="191"/>
      <c r="Y61" s="220"/>
    </row>
    <row r="62" spans="8:25" ht="13.5">
      <c r="H62" s="191"/>
      <c r="I62" s="219"/>
      <c r="L62" s="220"/>
      <c r="M62" s="218"/>
      <c r="N62" s="191"/>
      <c r="V62" s="191"/>
      <c r="Y62" s="220"/>
    </row>
    <row r="63" spans="8:25" ht="13.5">
      <c r="H63" s="191"/>
      <c r="I63" s="219"/>
      <c r="L63" s="220"/>
      <c r="M63" s="218"/>
      <c r="N63" s="191"/>
      <c r="V63" s="191"/>
      <c r="Y63" s="220"/>
    </row>
    <row r="64" spans="13:25" ht="13.5">
      <c r="M64" s="191"/>
      <c r="Q64" s="220"/>
      <c r="V64" s="191"/>
      <c r="Y64" s="220"/>
    </row>
    <row r="65" spans="13:25" ht="13.5">
      <c r="M65" s="191"/>
      <c r="V65" s="191"/>
      <c r="Y65" s="220"/>
    </row>
    <row r="66" spans="13:25" ht="13.5">
      <c r="M66" s="191"/>
      <c r="V66" s="191"/>
      <c r="Y66" s="220"/>
    </row>
    <row r="67" spans="13:25" ht="13.5">
      <c r="M67" s="191"/>
      <c r="V67" s="191"/>
      <c r="Y67" s="220"/>
    </row>
    <row r="68" spans="13:25" ht="13.5">
      <c r="M68" s="191"/>
      <c r="V68" s="191"/>
      <c r="Y68" s="220"/>
    </row>
    <row r="69" spans="13:27" ht="13.5">
      <c r="M69" s="191"/>
      <c r="V69" s="191"/>
      <c r="AA69" s="220"/>
    </row>
    <row r="70" spans="13:27" ht="13.5">
      <c r="M70" s="191"/>
      <c r="V70" s="191"/>
      <c r="AA70" s="220"/>
    </row>
    <row r="71" spans="22:27" ht="13.5">
      <c r="V71" s="191"/>
      <c r="AA71" s="220"/>
    </row>
    <row r="72" spans="22:27" ht="13.5">
      <c r="V72" s="191"/>
      <c r="AA72" s="220"/>
    </row>
    <row r="73" spans="22:27" ht="13.5">
      <c r="V73" s="191"/>
      <c r="AA73" s="220"/>
    </row>
    <row r="74" spans="8:27" ht="13.5">
      <c r="H74" s="227"/>
      <c r="V74" s="191"/>
      <c r="AA74" s="220"/>
    </row>
    <row r="75" spans="8:27" ht="13.5">
      <c r="H75" s="227"/>
      <c r="N75" s="228"/>
      <c r="V75" s="191"/>
      <c r="AA75" s="220"/>
    </row>
    <row r="76" spans="8:27" ht="13.5">
      <c r="H76" s="227"/>
      <c r="N76" s="228"/>
      <c r="V76" s="191"/>
      <c r="AA76" s="220"/>
    </row>
    <row r="77" spans="8:22" ht="13.5">
      <c r="H77" s="227"/>
      <c r="N77" s="228"/>
      <c r="T77" s="220"/>
      <c r="V77" s="191"/>
    </row>
    <row r="78" spans="8:22" ht="13.5">
      <c r="H78" s="227"/>
      <c r="N78" s="228"/>
      <c r="T78" s="220"/>
      <c r="V78" s="191"/>
    </row>
    <row r="79" spans="8:23" ht="13.5">
      <c r="H79" s="227"/>
      <c r="N79" s="228"/>
      <c r="T79" s="220"/>
      <c r="V79" s="191"/>
      <c r="W79" s="227"/>
    </row>
    <row r="80" spans="8:23" ht="13.5">
      <c r="H80" s="227"/>
      <c r="N80" s="228"/>
      <c r="T80" s="220"/>
      <c r="V80" s="191"/>
      <c r="W80" s="227"/>
    </row>
    <row r="81" spans="8:23" ht="13.5">
      <c r="H81" s="227"/>
      <c r="N81" s="228"/>
      <c r="T81" s="220"/>
      <c r="V81" s="191"/>
      <c r="W81" s="227"/>
    </row>
    <row r="82" spans="8:23" ht="13.5">
      <c r="H82" s="227"/>
      <c r="N82" s="228"/>
      <c r="T82" s="220"/>
      <c r="V82" s="191"/>
      <c r="W82" s="227"/>
    </row>
    <row r="83" spans="8:23" ht="13.5">
      <c r="H83" s="227"/>
      <c r="N83" s="228"/>
      <c r="T83" s="220"/>
      <c r="V83" s="191"/>
      <c r="W83" s="227"/>
    </row>
    <row r="84" spans="8:23" ht="13.5">
      <c r="H84" s="227"/>
      <c r="N84" s="228"/>
      <c r="T84" s="220"/>
      <c r="V84" s="191"/>
      <c r="W84" s="227"/>
    </row>
    <row r="85" spans="8:23" ht="13.5">
      <c r="H85" s="227"/>
      <c r="T85" s="220"/>
      <c r="V85" s="191"/>
      <c r="W85" s="227"/>
    </row>
    <row r="86" spans="8:23" ht="13.5">
      <c r="H86" s="227"/>
      <c r="T86" s="220"/>
      <c r="V86" s="191"/>
      <c r="W86" s="227"/>
    </row>
    <row r="87" spans="8:23" ht="13.5">
      <c r="H87" s="227"/>
      <c r="T87" s="220"/>
      <c r="V87" s="191"/>
      <c r="W87" s="227"/>
    </row>
    <row r="88" spans="8:23" ht="13.5">
      <c r="H88" s="227"/>
      <c r="T88" s="220"/>
      <c r="V88" s="191"/>
      <c r="W88" s="227"/>
    </row>
    <row r="89" spans="8:23" ht="13.5">
      <c r="H89" s="227"/>
      <c r="T89" s="220"/>
      <c r="V89" s="191"/>
      <c r="W89" s="227"/>
    </row>
    <row r="90" spans="8:23" ht="13.5">
      <c r="H90" s="227"/>
      <c r="T90" s="220"/>
      <c r="V90" s="191"/>
      <c r="W90" s="227"/>
    </row>
    <row r="91" spans="8:23" ht="13.5">
      <c r="H91" s="227"/>
      <c r="T91" s="220"/>
      <c r="V91" s="191"/>
      <c r="W91" s="227"/>
    </row>
    <row r="92" spans="8:23" ht="13.5">
      <c r="H92" s="227"/>
      <c r="T92" s="220"/>
      <c r="V92" s="191"/>
      <c r="W92" s="227"/>
    </row>
    <row r="93" spans="8:23" ht="13.5">
      <c r="H93" s="227"/>
      <c r="T93" s="220"/>
      <c r="V93" s="191"/>
      <c r="W93" s="227"/>
    </row>
    <row r="94" spans="20:23" ht="13.5">
      <c r="T94" s="220"/>
      <c r="V94" s="191"/>
      <c r="W94" s="227"/>
    </row>
    <row r="95" spans="20:23" ht="13.5">
      <c r="T95" s="220"/>
      <c r="V95" s="191"/>
      <c r="W95" s="227"/>
    </row>
    <row r="96" spans="20:23" ht="13.5">
      <c r="T96" s="220"/>
      <c r="V96" s="191"/>
      <c r="W96" s="227"/>
    </row>
    <row r="97" spans="20:23" ht="13.5">
      <c r="T97" s="220"/>
      <c r="V97" s="191"/>
      <c r="W97" s="227"/>
    </row>
    <row r="98" spans="20:22" ht="13.5">
      <c r="T98" s="220"/>
      <c r="V98" s="191"/>
    </row>
    <row r="99" spans="20:22" ht="13.5">
      <c r="T99" s="220"/>
      <c r="V99" s="191"/>
    </row>
    <row r="100" spans="20:22" ht="13.5">
      <c r="T100" s="220"/>
      <c r="V100" s="191"/>
    </row>
    <row r="101" spans="20:22" ht="13.5">
      <c r="T101" s="220"/>
      <c r="V101" s="191"/>
    </row>
    <row r="102" spans="20:22" ht="13.5">
      <c r="T102" s="220"/>
      <c r="V102" s="191"/>
    </row>
    <row r="103" spans="20:22" ht="13.5">
      <c r="T103" s="220"/>
      <c r="V103" s="191"/>
    </row>
    <row r="104" spans="20:22" ht="13.5">
      <c r="T104" s="220"/>
      <c r="V104" s="191"/>
    </row>
    <row r="105" spans="20:22" ht="13.5">
      <c r="T105" s="220"/>
      <c r="V105" s="191"/>
    </row>
    <row r="106" spans="20:22" ht="13.5">
      <c r="T106" s="220"/>
      <c r="V106" s="191"/>
    </row>
    <row r="107" spans="20:22" ht="13.5">
      <c r="T107" s="220"/>
      <c r="V107" s="191"/>
    </row>
    <row r="108" spans="20:22" ht="13.5">
      <c r="T108" s="220"/>
      <c r="V108" s="191"/>
    </row>
    <row r="109" spans="20:22" ht="13.5">
      <c r="T109" s="220"/>
      <c r="V109" s="191"/>
    </row>
    <row r="110" spans="20:22" ht="13.5">
      <c r="T110" s="220"/>
      <c r="V110" s="191"/>
    </row>
    <row r="111" spans="20:22" ht="13.5">
      <c r="T111" s="220"/>
      <c r="V111" s="191"/>
    </row>
    <row r="112" spans="20:22" ht="13.5">
      <c r="T112" s="220"/>
      <c r="V112" s="191"/>
    </row>
    <row r="113" spans="20:22" ht="13.5">
      <c r="T113" s="220"/>
      <c r="V113" s="191"/>
    </row>
    <row r="114" spans="20:22" ht="13.5">
      <c r="T114" s="220"/>
      <c r="V114" s="191"/>
    </row>
    <row r="115" spans="20:22" ht="13.5">
      <c r="T115" s="220"/>
      <c r="V115" s="191"/>
    </row>
    <row r="116" spans="20:22" ht="13.5">
      <c r="T116" s="220"/>
      <c r="V116" s="191"/>
    </row>
    <row r="117" spans="20:22" ht="13.5">
      <c r="T117" s="220"/>
      <c r="V117" s="191"/>
    </row>
    <row r="118" spans="20:22" ht="13.5">
      <c r="T118" s="220"/>
      <c r="V118" s="191"/>
    </row>
    <row r="119" spans="20:22" ht="13.5">
      <c r="T119" s="220"/>
      <c r="V119" s="191"/>
    </row>
  </sheetData>
  <mergeCells count="27">
    <mergeCell ref="A1:AA1"/>
    <mergeCell ref="R4:AA4"/>
    <mergeCell ref="W6:X6"/>
    <mergeCell ref="H4:Q4"/>
    <mergeCell ref="H5:L5"/>
    <mergeCell ref="K6:L6"/>
    <mergeCell ref="W5:AA5"/>
    <mergeCell ref="R6:S6"/>
    <mergeCell ref="R5:V5"/>
    <mergeCell ref="T6:T7"/>
    <mergeCell ref="H6:I6"/>
    <mergeCell ref="A4:G8"/>
    <mergeCell ref="P6:Q6"/>
    <mergeCell ref="O6:O7"/>
    <mergeCell ref="H7:H8"/>
    <mergeCell ref="I7:I8"/>
    <mergeCell ref="N7:N8"/>
    <mergeCell ref="M6:N6"/>
    <mergeCell ref="M7:M8"/>
    <mergeCell ref="J6:J7"/>
    <mergeCell ref="Z6:AA6"/>
    <mergeCell ref="Y6:Y7"/>
    <mergeCell ref="U6:V6"/>
    <mergeCell ref="R7:R8"/>
    <mergeCell ref="W7:W8"/>
    <mergeCell ref="S7:S8"/>
    <mergeCell ref="X7:X8"/>
  </mergeCells>
  <printOptions horizontalCentered="1"/>
  <pageMargins left="0.5905511811023623" right="0.31496062992125984" top="0.984251968503937" bottom="0.7874015748031497" header="0.5118110236220472" footer="0.5118110236220472"/>
  <pageSetup firstPageNumber="29" useFirstPageNumber="1" horizontalDpi="600" verticalDpi="600" orientation="portrait" paperSize="9" scale="80" r:id="rId1"/>
  <headerFooter alignWithMargins="0">
    <oddFooter>&amp;C&amp;"ＭＳ 明朝,標準"- &amp;P+2 -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0"/>
  <sheetViews>
    <sheetView zoomScale="75" zoomScaleNormal="75" zoomScaleSheetLayoutView="100" workbookViewId="0" topLeftCell="A1">
      <pane xSplit="7" topLeftCell="H1" activePane="topRight" state="frozen"/>
      <selection pane="topLeft" activeCell="J10" sqref="J10"/>
      <selection pane="topRight" activeCell="A4" sqref="A4:G8"/>
    </sheetView>
  </sheetViews>
  <sheetFormatPr defaultColWidth="9.00390625" defaultRowHeight="13.5"/>
  <cols>
    <col min="1" max="5" width="2.00390625" style="191" customWidth="1"/>
    <col min="6" max="6" width="20.75390625" style="218" customWidth="1"/>
    <col min="7" max="7" width="2.00390625" style="218" customWidth="1"/>
    <col min="8" max="8" width="11.50390625" style="218" customWidth="1"/>
    <col min="9" max="9" width="11.50390625" style="191" customWidth="1"/>
    <col min="10" max="12" width="9.00390625" style="191" customWidth="1"/>
    <col min="13" max="14" width="11.50390625" style="219" customWidth="1"/>
    <col min="15" max="17" width="9.00390625" style="191" customWidth="1"/>
    <col min="18" max="19" width="11.50390625" style="191" customWidth="1"/>
    <col min="20" max="21" width="9.00390625" style="191" customWidth="1"/>
    <col min="22" max="22" width="9.00390625" style="220" customWidth="1"/>
    <col min="23" max="24" width="11.50390625" style="191" customWidth="1"/>
    <col min="25" max="16384" width="9.00390625" style="191" customWidth="1"/>
  </cols>
  <sheetData>
    <row r="1" spans="1:27" s="3" customFormat="1" ht="21.75" customHeight="1">
      <c r="A1" s="415"/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</row>
    <row r="2" spans="1:27" s="3" customFormat="1" ht="5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6"/>
      <c r="N2" s="7"/>
      <c r="O2" s="7"/>
      <c r="P2" s="7"/>
      <c r="Q2" s="8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s="3" customFormat="1" ht="18.75" customHeight="1" thickBot="1">
      <c r="A3" s="9"/>
      <c r="B3" s="9"/>
      <c r="C3" s="9"/>
      <c r="D3" s="9"/>
      <c r="E3" s="9"/>
      <c r="F3" s="10"/>
      <c r="G3" s="10"/>
      <c r="H3" s="10"/>
      <c r="I3" s="9"/>
      <c r="J3" s="9"/>
      <c r="K3" s="9"/>
      <c r="L3" s="9"/>
      <c r="M3" s="11"/>
      <c r="N3" s="11"/>
      <c r="O3" s="11"/>
      <c r="P3" s="11"/>
      <c r="Q3" s="12"/>
      <c r="R3" s="9"/>
      <c r="S3" s="11"/>
      <c r="T3" s="9"/>
      <c r="U3" s="10"/>
      <c r="W3" s="10"/>
      <c r="X3" s="10"/>
      <c r="Y3" s="9"/>
      <c r="Z3" s="9"/>
      <c r="AA3" s="9"/>
    </row>
    <row r="4" spans="1:27" ht="26.25" customHeight="1">
      <c r="A4" s="407" t="s">
        <v>4</v>
      </c>
      <c r="B4" s="408"/>
      <c r="C4" s="408"/>
      <c r="D4" s="408"/>
      <c r="E4" s="408"/>
      <c r="F4" s="408"/>
      <c r="G4" s="409"/>
      <c r="H4" s="400" t="s">
        <v>5</v>
      </c>
      <c r="I4" s="401"/>
      <c r="J4" s="401"/>
      <c r="K4" s="401"/>
      <c r="L4" s="401"/>
      <c r="M4" s="401"/>
      <c r="N4" s="401"/>
      <c r="O4" s="401"/>
      <c r="P4" s="401"/>
      <c r="Q4" s="402"/>
      <c r="R4" s="357" t="s">
        <v>6</v>
      </c>
      <c r="S4" s="358"/>
      <c r="T4" s="358"/>
      <c r="U4" s="358"/>
      <c r="V4" s="358"/>
      <c r="W4" s="358"/>
      <c r="X4" s="358"/>
      <c r="Y4" s="358"/>
      <c r="Z4" s="358"/>
      <c r="AA4" s="359"/>
    </row>
    <row r="5" spans="1:27" ht="26.25" customHeight="1">
      <c r="A5" s="410"/>
      <c r="B5" s="411"/>
      <c r="C5" s="411"/>
      <c r="D5" s="411"/>
      <c r="E5" s="411"/>
      <c r="F5" s="411"/>
      <c r="G5" s="411"/>
      <c r="H5" s="364" t="s">
        <v>7</v>
      </c>
      <c r="I5" s="365"/>
      <c r="J5" s="365"/>
      <c r="K5" s="365"/>
      <c r="L5" s="356"/>
      <c r="M5" s="14" t="s">
        <v>8</v>
      </c>
      <c r="N5" s="15"/>
      <c r="O5" s="15"/>
      <c r="P5" s="16"/>
      <c r="Q5" s="17"/>
      <c r="R5" s="364" t="s">
        <v>7</v>
      </c>
      <c r="S5" s="365"/>
      <c r="T5" s="365"/>
      <c r="U5" s="365"/>
      <c r="V5" s="365"/>
      <c r="W5" s="355" t="s">
        <v>9</v>
      </c>
      <c r="X5" s="366"/>
      <c r="Y5" s="366"/>
      <c r="Z5" s="366"/>
      <c r="AA5" s="367"/>
    </row>
    <row r="6" spans="1:27" ht="26.25" customHeight="1">
      <c r="A6" s="410"/>
      <c r="B6" s="411"/>
      <c r="C6" s="411"/>
      <c r="D6" s="411"/>
      <c r="E6" s="411"/>
      <c r="F6" s="411"/>
      <c r="G6" s="411"/>
      <c r="H6" s="379" t="s">
        <v>10</v>
      </c>
      <c r="I6" s="361"/>
      <c r="J6" s="370" t="s">
        <v>135</v>
      </c>
      <c r="K6" s="360" t="s">
        <v>115</v>
      </c>
      <c r="L6" s="361"/>
      <c r="M6" s="379" t="s">
        <v>116</v>
      </c>
      <c r="N6" s="361"/>
      <c r="O6" s="370" t="s">
        <v>135</v>
      </c>
      <c r="P6" s="414" t="s">
        <v>115</v>
      </c>
      <c r="Q6" s="374"/>
      <c r="R6" s="380" t="s">
        <v>116</v>
      </c>
      <c r="S6" s="361"/>
      <c r="T6" s="370" t="s">
        <v>135</v>
      </c>
      <c r="U6" s="360" t="s">
        <v>115</v>
      </c>
      <c r="V6" s="360"/>
      <c r="W6" s="379" t="s">
        <v>116</v>
      </c>
      <c r="X6" s="361"/>
      <c r="Y6" s="370" t="s">
        <v>135</v>
      </c>
      <c r="Z6" s="360" t="s">
        <v>115</v>
      </c>
      <c r="AA6" s="374"/>
    </row>
    <row r="7" spans="1:27" ht="26.25" customHeight="1">
      <c r="A7" s="410"/>
      <c r="B7" s="411"/>
      <c r="C7" s="411"/>
      <c r="D7" s="411"/>
      <c r="E7" s="411"/>
      <c r="F7" s="411"/>
      <c r="G7" s="411"/>
      <c r="H7" s="381" t="s">
        <v>11</v>
      </c>
      <c r="I7" s="372" t="s">
        <v>134</v>
      </c>
      <c r="J7" s="371"/>
      <c r="K7" s="18" t="s">
        <v>117</v>
      </c>
      <c r="L7" s="19" t="s">
        <v>118</v>
      </c>
      <c r="M7" s="381" t="s">
        <v>11</v>
      </c>
      <c r="N7" s="372" t="s">
        <v>134</v>
      </c>
      <c r="O7" s="371"/>
      <c r="P7" s="19" t="s">
        <v>117</v>
      </c>
      <c r="Q7" s="320" t="s">
        <v>118</v>
      </c>
      <c r="R7" s="377" t="s">
        <v>11</v>
      </c>
      <c r="S7" s="372" t="s">
        <v>134</v>
      </c>
      <c r="T7" s="371"/>
      <c r="U7" s="18" t="s">
        <v>117</v>
      </c>
      <c r="V7" s="338" t="s">
        <v>118</v>
      </c>
      <c r="W7" s="381" t="s">
        <v>11</v>
      </c>
      <c r="X7" s="372" t="s">
        <v>134</v>
      </c>
      <c r="Y7" s="371"/>
      <c r="Z7" s="18" t="s">
        <v>117</v>
      </c>
      <c r="AA7" s="20" t="s">
        <v>118</v>
      </c>
    </row>
    <row r="8" spans="1:27" ht="26.25" customHeight="1">
      <c r="A8" s="412"/>
      <c r="B8" s="413"/>
      <c r="C8" s="413"/>
      <c r="D8" s="413"/>
      <c r="E8" s="413"/>
      <c r="F8" s="413"/>
      <c r="G8" s="413"/>
      <c r="H8" s="382"/>
      <c r="I8" s="373"/>
      <c r="J8" s="192" t="s">
        <v>12</v>
      </c>
      <c r="K8" s="193" t="s">
        <v>12</v>
      </c>
      <c r="L8" s="192" t="s">
        <v>12</v>
      </c>
      <c r="M8" s="382"/>
      <c r="N8" s="373"/>
      <c r="O8" s="192" t="s">
        <v>12</v>
      </c>
      <c r="P8" s="192" t="s">
        <v>12</v>
      </c>
      <c r="Q8" s="321" t="s">
        <v>12</v>
      </c>
      <c r="R8" s="378"/>
      <c r="S8" s="373"/>
      <c r="T8" s="192" t="s">
        <v>12</v>
      </c>
      <c r="U8" s="193" t="s">
        <v>12</v>
      </c>
      <c r="V8" s="339" t="s">
        <v>12</v>
      </c>
      <c r="W8" s="382"/>
      <c r="X8" s="373"/>
      <c r="Y8" s="194" t="s">
        <v>12</v>
      </c>
      <c r="Z8" s="192" t="s">
        <v>12</v>
      </c>
      <c r="AA8" s="195" t="s">
        <v>12</v>
      </c>
    </row>
    <row r="9" spans="1:29" s="25" customFormat="1" ht="26.25" customHeight="1">
      <c r="A9" s="159"/>
      <c r="B9" s="160"/>
      <c r="C9" s="160"/>
      <c r="D9" s="11"/>
      <c r="E9" s="167"/>
      <c r="F9" s="229" t="s">
        <v>55</v>
      </c>
      <c r="G9" s="6"/>
      <c r="H9" s="109">
        <v>2552</v>
      </c>
      <c r="I9" s="110">
        <v>2619.75</v>
      </c>
      <c r="J9" s="111">
        <f>ROUND(I9/'第５表 '!I$28*100,1)</f>
        <v>0.8</v>
      </c>
      <c r="K9" s="112">
        <f aca="true" t="shared" si="0" ref="K9:K35">ROUND((I9-H9)/H9*100,1)</f>
        <v>2.7</v>
      </c>
      <c r="L9" s="207">
        <f>ROUND(((100+K9)/(100-7.1)-1)*100,1)</f>
        <v>10.5</v>
      </c>
      <c r="M9" s="113">
        <v>2299</v>
      </c>
      <c r="N9" s="201">
        <v>2493</v>
      </c>
      <c r="O9" s="111">
        <f>ROUND(N9/'第５表 '!N$28*100,1)</f>
        <v>0.8</v>
      </c>
      <c r="P9" s="207">
        <f aca="true" t="shared" si="1" ref="P9:P35">ROUND((N9-M9)/M9*100,1)</f>
        <v>8.4</v>
      </c>
      <c r="Q9" s="308">
        <f>ROUND(((100+P9)/(100-2.5)-1)*100,1)</f>
        <v>11.2</v>
      </c>
      <c r="R9" s="116">
        <v>2483</v>
      </c>
      <c r="S9" s="117">
        <v>2552.5</v>
      </c>
      <c r="T9" s="111">
        <f>ROUND(S9/'第５表 '!S$28*100,1)</f>
        <v>0.8</v>
      </c>
      <c r="U9" s="112">
        <f aca="true" t="shared" si="2" ref="U9:U28">ROUND((S9-R9)/R9*100,1)</f>
        <v>2.8</v>
      </c>
      <c r="V9" s="340">
        <f>ROUND(((100+U9)/(100-7.1)-1)*100,1)</f>
        <v>10.7</v>
      </c>
      <c r="W9" s="113">
        <v>2164</v>
      </c>
      <c r="X9" s="201">
        <v>2207</v>
      </c>
      <c r="Y9" s="172">
        <f>ROUND(X9/'第５表 '!X$28*100,1)</f>
        <v>0.8</v>
      </c>
      <c r="Z9" s="207">
        <f aca="true" t="shared" si="3" ref="Z9:Z28">ROUND((X9-W9)/W9*100,1)</f>
        <v>2</v>
      </c>
      <c r="AA9" s="308">
        <f>ROUND(((100+Z9)/(100-2.5)-1)*100,1)</f>
        <v>4.6</v>
      </c>
      <c r="AB9" s="187"/>
      <c r="AC9" s="187"/>
    </row>
    <row r="10" spans="1:29" s="25" customFormat="1" ht="26.25" customHeight="1">
      <c r="A10" s="159"/>
      <c r="B10" s="160"/>
      <c r="C10" s="160"/>
      <c r="D10" s="176" t="s">
        <v>56</v>
      </c>
      <c r="E10" s="176"/>
      <c r="F10" s="177" t="s">
        <v>57</v>
      </c>
      <c r="G10" s="178"/>
      <c r="H10" s="26">
        <v>11463</v>
      </c>
      <c r="I10" s="66">
        <v>8985.166666666666</v>
      </c>
      <c r="J10" s="122">
        <f>ROUND(I10/'第５表 '!I$28*100,1)</f>
        <v>2.7</v>
      </c>
      <c r="K10" s="123">
        <f t="shared" si="0"/>
        <v>-21.6</v>
      </c>
      <c r="L10" s="198">
        <f>ROUND(((100+K10)/(100+1.6)-1)*100,1)</f>
        <v>-22.8</v>
      </c>
      <c r="M10" s="70">
        <v>6882</v>
      </c>
      <c r="N10" s="197">
        <v>6973</v>
      </c>
      <c r="O10" s="122">
        <f>ROUND(N10/'第５表 '!N$28*100,1)</f>
        <v>2.2</v>
      </c>
      <c r="P10" s="198">
        <f t="shared" si="1"/>
        <v>1.3</v>
      </c>
      <c r="Q10" s="305">
        <f>ROUND(((100+P10)/(100+1.7)-1)*100,1)</f>
        <v>-0.4</v>
      </c>
      <c r="R10" s="32">
        <v>10524</v>
      </c>
      <c r="S10" s="28">
        <v>9118.333333333334</v>
      </c>
      <c r="T10" s="122">
        <f>ROUND(S10/'第５表 '!S$28*100,1)</f>
        <v>2.9</v>
      </c>
      <c r="U10" s="123">
        <f t="shared" si="2"/>
        <v>-13.4</v>
      </c>
      <c r="V10" s="341">
        <f>ROUND(((100+U10)/(100+1.6)-1)*100,1)</f>
        <v>-14.8</v>
      </c>
      <c r="W10" s="70">
        <v>7631</v>
      </c>
      <c r="X10" s="217">
        <v>7658</v>
      </c>
      <c r="Y10" s="181">
        <f>ROUND(X10/'第５表 '!X$28*100,1)</f>
        <v>2.6</v>
      </c>
      <c r="Z10" s="198">
        <f t="shared" si="3"/>
        <v>0.4</v>
      </c>
      <c r="AA10" s="305">
        <f>ROUND(((100+Z10)/(100+1.7)-1)*100,1)</f>
        <v>-1.3</v>
      </c>
      <c r="AB10" s="187"/>
      <c r="AC10" s="187"/>
    </row>
    <row r="11" spans="1:29" s="25" customFormat="1" ht="26.25" customHeight="1">
      <c r="A11" s="159"/>
      <c r="B11" s="160"/>
      <c r="C11" s="160"/>
      <c r="D11" s="11" t="s">
        <v>58</v>
      </c>
      <c r="E11" s="11"/>
      <c r="F11" s="196"/>
      <c r="G11" s="196"/>
      <c r="H11" s="81">
        <v>52382</v>
      </c>
      <c r="I11" s="82">
        <v>46848.833333333336</v>
      </c>
      <c r="J11" s="94">
        <f>ROUND(I11/'第５表 '!I$28*100,1)</f>
        <v>14</v>
      </c>
      <c r="K11" s="230">
        <f t="shared" si="0"/>
        <v>-10.6</v>
      </c>
      <c r="L11" s="204">
        <f>ROUND(((100+K11)/(100-5.3)-1)*100,1)</f>
        <v>-5.6</v>
      </c>
      <c r="M11" s="85">
        <v>48259</v>
      </c>
      <c r="N11" s="231">
        <v>47093</v>
      </c>
      <c r="O11" s="122">
        <f>ROUND(N11/'第５表 '!N$28*100,1)</f>
        <v>14.8</v>
      </c>
      <c r="P11" s="198">
        <f t="shared" si="1"/>
        <v>-2.4</v>
      </c>
      <c r="Q11" s="305">
        <f>ROUND(((100+P11)/(100-4.9)-1)*100,1)</f>
        <v>2.6</v>
      </c>
      <c r="R11" s="32">
        <v>41279</v>
      </c>
      <c r="S11" s="28">
        <v>38432.666666666664</v>
      </c>
      <c r="T11" s="122">
        <f>ROUND(S11/'第５表 '!S$28*100,1)</f>
        <v>12.4</v>
      </c>
      <c r="U11" s="232">
        <f t="shared" si="2"/>
        <v>-6.9</v>
      </c>
      <c r="V11" s="342">
        <f>ROUND(((100+U11)/(100-5.3)-1)*100,1)</f>
        <v>-1.7</v>
      </c>
      <c r="W11" s="70">
        <v>39147</v>
      </c>
      <c r="X11" s="231">
        <v>38070</v>
      </c>
      <c r="Y11" s="181">
        <f>ROUND(X11/'第５表 '!X$28*100,1)</f>
        <v>13</v>
      </c>
      <c r="Z11" s="198">
        <f t="shared" si="3"/>
        <v>-2.8</v>
      </c>
      <c r="AA11" s="305">
        <f>ROUND(((100+Z11)/(100-4.9)-1)*100,1)</f>
        <v>2.2</v>
      </c>
      <c r="AB11" s="187"/>
      <c r="AC11" s="187"/>
    </row>
    <row r="12" spans="1:29" s="25" customFormat="1" ht="26.25" customHeight="1">
      <c r="A12" s="159"/>
      <c r="B12" s="160"/>
      <c r="C12" s="160"/>
      <c r="D12" s="11"/>
      <c r="E12" s="164"/>
      <c r="F12" s="200" t="s">
        <v>59</v>
      </c>
      <c r="G12" s="168"/>
      <c r="H12" s="99">
        <v>3120</v>
      </c>
      <c r="I12" s="100">
        <v>2620</v>
      </c>
      <c r="J12" s="101">
        <f>ROUND(I12/'第５表 '!I$28*100,1)</f>
        <v>0.8</v>
      </c>
      <c r="K12" s="233">
        <f t="shared" si="0"/>
        <v>-16</v>
      </c>
      <c r="L12" s="202">
        <f>ROUND(((100+K12)/(100-1.4)-1)*100,1)</f>
        <v>-14.8</v>
      </c>
      <c r="M12" s="103">
        <v>6933</v>
      </c>
      <c r="N12" s="210">
        <v>6758</v>
      </c>
      <c r="O12" s="111">
        <f>ROUND(N12/'第５表 '!N$28*100,1)</f>
        <v>2.1</v>
      </c>
      <c r="P12" s="207">
        <f t="shared" si="1"/>
        <v>-2.5</v>
      </c>
      <c r="Q12" s="308">
        <f>ROUND(((100+P12)/(100-0.8)-1)*100,1)</f>
        <v>-1.7</v>
      </c>
      <c r="R12" s="116">
        <v>3236</v>
      </c>
      <c r="S12" s="117">
        <v>3024</v>
      </c>
      <c r="T12" s="101">
        <f>ROUND(S12/'第５表 '!S$28*100,1)</f>
        <v>1</v>
      </c>
      <c r="U12" s="233">
        <f t="shared" si="2"/>
        <v>-6.6</v>
      </c>
      <c r="V12" s="343">
        <f>ROUND(((100+U12)/(100-1.4)-1)*100,1)</f>
        <v>-5.3</v>
      </c>
      <c r="W12" s="103">
        <v>5831</v>
      </c>
      <c r="X12" s="210">
        <v>5582</v>
      </c>
      <c r="Y12" s="170">
        <f>ROUND(X12/'第５表 '!X$28*100,1)</f>
        <v>1.9</v>
      </c>
      <c r="Z12" s="207">
        <f t="shared" si="3"/>
        <v>-4.3</v>
      </c>
      <c r="AA12" s="308">
        <f>ROUND(((100+Z12)/(100-0.8)-1)*100,1)</f>
        <v>-3.5</v>
      </c>
      <c r="AB12" s="187"/>
      <c r="AC12" s="187"/>
    </row>
    <row r="13" spans="1:39" s="25" customFormat="1" ht="26.25" customHeight="1">
      <c r="A13" s="159"/>
      <c r="B13" s="160"/>
      <c r="C13" s="160"/>
      <c r="D13" s="11" t="s">
        <v>60</v>
      </c>
      <c r="E13" s="167"/>
      <c r="F13" s="98" t="s">
        <v>61</v>
      </c>
      <c r="G13" s="6"/>
      <c r="H13" s="109">
        <v>35211</v>
      </c>
      <c r="I13" s="110">
        <v>28733</v>
      </c>
      <c r="J13" s="111">
        <f>ROUND(I13/'第５表 '!I$28*100,1)</f>
        <v>8.6</v>
      </c>
      <c r="K13" s="234">
        <f t="shared" si="0"/>
        <v>-18.4</v>
      </c>
      <c r="L13" s="207">
        <f>ROUND(((100+K13)/(100-8.3)-1)*100,1)</f>
        <v>-11</v>
      </c>
      <c r="M13" s="113">
        <v>27102</v>
      </c>
      <c r="N13" s="231">
        <v>25873</v>
      </c>
      <c r="O13" s="111">
        <f>ROUND(N13/'第５表 '!N$28*100,1)</f>
        <v>8.1</v>
      </c>
      <c r="P13" s="207">
        <f t="shared" si="1"/>
        <v>-4.5</v>
      </c>
      <c r="Q13" s="308">
        <f>ROUND(((100+P13)/(100-8.1)-1)*100,1)</f>
        <v>3.9</v>
      </c>
      <c r="R13" s="116">
        <v>26175</v>
      </c>
      <c r="S13" s="117">
        <v>21240.666666666668</v>
      </c>
      <c r="T13" s="111">
        <f>ROUND(S13/'第５表 '!S$28*100,1)</f>
        <v>6.9</v>
      </c>
      <c r="U13" s="234">
        <f t="shared" si="2"/>
        <v>-18.9</v>
      </c>
      <c r="V13" s="340">
        <f>ROUND(((100+U13)/(100-8.3)-1)*100,1)</f>
        <v>-11.6</v>
      </c>
      <c r="W13" s="113">
        <v>21405</v>
      </c>
      <c r="X13" s="201">
        <v>20507</v>
      </c>
      <c r="Y13" s="172">
        <f>ROUND(X13/'第５表 '!X$28*100,1)</f>
        <v>7</v>
      </c>
      <c r="Z13" s="207">
        <f t="shared" si="3"/>
        <v>-4.2</v>
      </c>
      <c r="AA13" s="308">
        <f>ROUND(((100+Z13)/(100-8.1)-1)*100,1)</f>
        <v>4.2</v>
      </c>
      <c r="AB13" s="188"/>
      <c r="AC13" s="188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1:29" s="25" customFormat="1" ht="26.25" customHeight="1">
      <c r="A14" s="159"/>
      <c r="B14" s="160"/>
      <c r="C14" s="160"/>
      <c r="D14" s="167"/>
      <c r="E14" s="176"/>
      <c r="F14" s="177" t="s">
        <v>62</v>
      </c>
      <c r="G14" s="154"/>
      <c r="H14" s="26">
        <v>14050</v>
      </c>
      <c r="I14" s="66">
        <v>15495.5</v>
      </c>
      <c r="J14" s="122">
        <f>ROUND(I14/'第５表 '!I$28*100,1)</f>
        <v>4.6</v>
      </c>
      <c r="K14" s="232">
        <f t="shared" si="0"/>
        <v>10.3</v>
      </c>
      <c r="L14" s="198">
        <f>ROUND(((100+K14)/(100-0.4)-1)*100,1)</f>
        <v>10.7</v>
      </c>
      <c r="M14" s="70">
        <v>14224</v>
      </c>
      <c r="N14" s="197">
        <v>14461</v>
      </c>
      <c r="O14" s="122">
        <f>ROUND(N14/'第５表 '!N$28*100,1)</f>
        <v>4.5</v>
      </c>
      <c r="P14" s="198">
        <f t="shared" si="1"/>
        <v>1.7</v>
      </c>
      <c r="Q14" s="305">
        <f>ROUND(((100+P14)/(100-0.4)-1)*100,1)</f>
        <v>2.1</v>
      </c>
      <c r="R14" s="32">
        <v>11868</v>
      </c>
      <c r="S14" s="28">
        <v>14167.833333333334</v>
      </c>
      <c r="T14" s="122">
        <f>ROUND(S14/'第５表 '!S$28*100,1)</f>
        <v>4.6</v>
      </c>
      <c r="U14" s="232">
        <f t="shared" si="2"/>
        <v>19.4</v>
      </c>
      <c r="V14" s="341">
        <f>ROUND(((100+U14)/(100-0.4)-1)*100,1)</f>
        <v>19.9</v>
      </c>
      <c r="W14" s="214">
        <v>11911</v>
      </c>
      <c r="X14" s="235">
        <v>11981</v>
      </c>
      <c r="Y14" s="181">
        <f>ROUND(X14/'第５表 '!X$28*100,1)</f>
        <v>4.1</v>
      </c>
      <c r="Z14" s="198">
        <f t="shared" si="3"/>
        <v>0.6</v>
      </c>
      <c r="AA14" s="305">
        <f>ROUND(((100+Z14)/(100-0.4)-1)*100,1)</f>
        <v>1</v>
      </c>
      <c r="AB14" s="187"/>
      <c r="AC14" s="187"/>
    </row>
    <row r="15" spans="1:29" s="25" customFormat="1" ht="26.25" customHeight="1">
      <c r="A15" s="159"/>
      <c r="B15" s="160"/>
      <c r="C15" s="160"/>
      <c r="D15" s="164" t="s">
        <v>63</v>
      </c>
      <c r="E15" s="11"/>
      <c r="F15" s="196"/>
      <c r="G15" s="196"/>
      <c r="H15" s="26">
        <v>16270</v>
      </c>
      <c r="I15" s="66">
        <v>18027.25</v>
      </c>
      <c r="J15" s="236">
        <f>ROUND(I15/'第５表 '!I$28*100,1)</f>
        <v>5.4</v>
      </c>
      <c r="K15" s="123">
        <f>ROUND((I15-H15)/H15*100,1)</f>
        <v>10.8</v>
      </c>
      <c r="L15" s="125">
        <f>ROUND(((100+K15)/(100+0.9)-1)*100,1)</f>
        <v>9.8</v>
      </c>
      <c r="M15" s="70">
        <v>18789</v>
      </c>
      <c r="N15" s="110">
        <v>19493</v>
      </c>
      <c r="O15" s="236">
        <f>ROUND(N15/'第５表 '!N$28*100,1)</f>
        <v>6.1</v>
      </c>
      <c r="P15" s="125">
        <f t="shared" si="1"/>
        <v>3.7</v>
      </c>
      <c r="Q15" s="300">
        <f>ROUND(((100+P15)/(100+0.9)-1)*100,1)</f>
        <v>2.8</v>
      </c>
      <c r="R15" s="32">
        <v>10945</v>
      </c>
      <c r="S15" s="66">
        <v>12842.5</v>
      </c>
      <c r="T15" s="236">
        <f>ROUND(S15/'第５表 '!S$28*100,1)</f>
        <v>4.2</v>
      </c>
      <c r="U15" s="123">
        <f t="shared" si="2"/>
        <v>17.3</v>
      </c>
      <c r="V15" s="344">
        <f>ROUND(((100+U15)/(100+0.9)-1)*100,1)</f>
        <v>16.3</v>
      </c>
      <c r="W15" s="70">
        <v>12727</v>
      </c>
      <c r="X15" s="34">
        <v>12909</v>
      </c>
      <c r="Y15" s="237">
        <f>ROUND(X15/'第５表 '!X$28*100,1)</f>
        <v>4.4</v>
      </c>
      <c r="Z15" s="125">
        <f t="shared" si="3"/>
        <v>1.4</v>
      </c>
      <c r="AA15" s="300">
        <f>ROUND(((100+Z15)/(100+0.9)-1)*100,1)</f>
        <v>0.5</v>
      </c>
      <c r="AB15" s="187"/>
      <c r="AC15" s="187"/>
    </row>
    <row r="16" spans="1:29" s="25" customFormat="1" ht="26.25" customHeight="1">
      <c r="A16" s="159"/>
      <c r="B16" s="160"/>
      <c r="C16" s="160"/>
      <c r="D16" s="11"/>
      <c r="E16" s="164"/>
      <c r="F16" s="200" t="s">
        <v>64</v>
      </c>
      <c r="G16" s="168"/>
      <c r="H16" s="99">
        <v>14757</v>
      </c>
      <c r="I16" s="100">
        <v>13475.416666666666</v>
      </c>
      <c r="J16" s="238">
        <f>ROUND(I16/'第５表 '!I$28*100,1)</f>
        <v>4</v>
      </c>
      <c r="K16" s="102">
        <f t="shared" si="0"/>
        <v>-8.7</v>
      </c>
      <c r="L16" s="105">
        <f>ROUND(((100+K16)/(100+0.4)-1)*100,1)</f>
        <v>-9.1</v>
      </c>
      <c r="M16" s="103">
        <v>14378</v>
      </c>
      <c r="N16" s="100">
        <v>14756</v>
      </c>
      <c r="O16" s="238">
        <f>ROUND(N16/'第５表 '!N$28*100,1)</f>
        <v>4.6</v>
      </c>
      <c r="P16" s="105">
        <f t="shared" si="1"/>
        <v>2.6</v>
      </c>
      <c r="Q16" s="302">
        <f>ROUND(((100+P16)/(100+0.8)-1)*100,1)</f>
        <v>1.8</v>
      </c>
      <c r="R16" s="106">
        <v>9809</v>
      </c>
      <c r="S16" s="100">
        <v>10173</v>
      </c>
      <c r="T16" s="238">
        <f>ROUND(S16/'第５表 '!S$28*100,1)</f>
        <v>3.3</v>
      </c>
      <c r="U16" s="102">
        <f t="shared" si="2"/>
        <v>3.7</v>
      </c>
      <c r="V16" s="345">
        <f>ROUND(((100+U16)/(100+0.4)-1)*100,1)</f>
        <v>3.3</v>
      </c>
      <c r="W16" s="103">
        <v>9822</v>
      </c>
      <c r="X16" s="100">
        <v>9837</v>
      </c>
      <c r="Y16" s="239">
        <f>ROUND(X16/'第５表 '!X$28*100,1)</f>
        <v>3.4</v>
      </c>
      <c r="Z16" s="105">
        <f t="shared" si="3"/>
        <v>0.2</v>
      </c>
      <c r="AA16" s="302">
        <f>ROUND(((100+Z16)/(100+0.8)-1)*100,1)</f>
        <v>-0.6</v>
      </c>
      <c r="AB16" s="187"/>
      <c r="AC16" s="187"/>
    </row>
    <row r="17" spans="1:29" s="25" customFormat="1" ht="26.25" customHeight="1">
      <c r="A17" s="159"/>
      <c r="B17" s="160"/>
      <c r="C17" s="160"/>
      <c r="D17" s="11" t="s">
        <v>65</v>
      </c>
      <c r="E17" s="167"/>
      <c r="F17" s="240" t="s">
        <v>66</v>
      </c>
      <c r="G17" s="6"/>
      <c r="H17" s="109">
        <v>255</v>
      </c>
      <c r="I17" s="110">
        <v>299.5</v>
      </c>
      <c r="J17" s="241">
        <f>ROUND(I17/'第５表 '!I$28*100,1)</f>
        <v>0.1</v>
      </c>
      <c r="K17" s="112">
        <f t="shared" si="0"/>
        <v>17.5</v>
      </c>
      <c r="L17" s="115">
        <f>ROUND(((100+K17)/(100+9.5)-1)*100,1)</f>
        <v>7.3</v>
      </c>
      <c r="M17" s="113">
        <v>418</v>
      </c>
      <c r="N17" s="110">
        <v>431</v>
      </c>
      <c r="O17" s="241">
        <f>ROUND(N17/'第５表 '!N$28*100,1)</f>
        <v>0.1</v>
      </c>
      <c r="P17" s="115">
        <f t="shared" si="1"/>
        <v>3.1</v>
      </c>
      <c r="Q17" s="303">
        <f>ROUND(((100+P17)/(100+7)-1)*100,1)</f>
        <v>-3.6</v>
      </c>
      <c r="R17" s="116">
        <v>180</v>
      </c>
      <c r="S17" s="110">
        <v>228.16666666666666</v>
      </c>
      <c r="T17" s="241">
        <f>ROUND(S17/'第５表 '!S$28*100,1)</f>
        <v>0.1</v>
      </c>
      <c r="U17" s="112">
        <f t="shared" si="2"/>
        <v>26.8</v>
      </c>
      <c r="V17" s="346">
        <f>ROUND(((100+U17)/(100+9.5)-1)*100,1)</f>
        <v>15.8</v>
      </c>
      <c r="W17" s="113">
        <v>275</v>
      </c>
      <c r="X17" s="34">
        <v>276</v>
      </c>
      <c r="Y17" s="242">
        <f>ROUND(X17/'第５表 '!X$28*100,1)</f>
        <v>0.1</v>
      </c>
      <c r="Z17" s="115">
        <f t="shared" si="3"/>
        <v>0.4</v>
      </c>
      <c r="AA17" s="303">
        <f>ROUND(((100+Z17)/(100+7)-1)*100,1)</f>
        <v>-6.2</v>
      </c>
      <c r="AB17" s="187"/>
      <c r="AC17" s="187"/>
    </row>
    <row r="18" spans="1:29" s="25" customFormat="1" ht="26.25" customHeight="1">
      <c r="A18" s="159"/>
      <c r="B18" s="160"/>
      <c r="C18" s="160"/>
      <c r="D18" s="175"/>
      <c r="E18" s="176"/>
      <c r="F18" s="177" t="s">
        <v>67</v>
      </c>
      <c r="G18" s="154"/>
      <c r="H18" s="26">
        <v>1258</v>
      </c>
      <c r="I18" s="66">
        <v>4252.333333333333</v>
      </c>
      <c r="J18" s="236">
        <f>ROUND(I18/'第５表 '!I$28*100,1)</f>
        <v>1.3</v>
      </c>
      <c r="K18" s="123">
        <f t="shared" si="0"/>
        <v>238</v>
      </c>
      <c r="L18" s="125">
        <f>ROUND(((100+K18)/(100+1)-1)*100,1)</f>
        <v>234.7</v>
      </c>
      <c r="M18" s="70">
        <v>3992</v>
      </c>
      <c r="N18" s="66">
        <v>4306</v>
      </c>
      <c r="O18" s="236">
        <f>ROUND(N18/'第５表 '!N$28*100,1)</f>
        <v>1.3</v>
      </c>
      <c r="P18" s="125">
        <f t="shared" si="1"/>
        <v>7.9</v>
      </c>
      <c r="Q18" s="300">
        <f>ROUND(((100+P18)/(100+0.1)-1)*100,1)</f>
        <v>7.8</v>
      </c>
      <c r="R18" s="32">
        <v>956</v>
      </c>
      <c r="S18" s="66">
        <v>2441.1666666666665</v>
      </c>
      <c r="T18" s="236">
        <f>ROUND(S18/'第５表 '!S$28*100,1)</f>
        <v>0.8</v>
      </c>
      <c r="U18" s="123">
        <f t="shared" si="2"/>
        <v>155.4</v>
      </c>
      <c r="V18" s="344">
        <f>ROUND(((100+U18)/(100+1)-1)*100,1)</f>
        <v>152.9</v>
      </c>
      <c r="W18" s="70">
        <v>2630</v>
      </c>
      <c r="X18" s="66">
        <v>2796</v>
      </c>
      <c r="Y18" s="237">
        <f>ROUND(X18/'第５表 '!X$28*100,1)</f>
        <v>1</v>
      </c>
      <c r="Z18" s="125">
        <f t="shared" si="3"/>
        <v>6.3</v>
      </c>
      <c r="AA18" s="300">
        <f>ROUND(((100+Z18)/(100+0.1)-1)*100,1)</f>
        <v>6.2</v>
      </c>
      <c r="AB18" s="187"/>
      <c r="AC18" s="187"/>
    </row>
    <row r="19" spans="1:29" s="25" customFormat="1" ht="26.25" customHeight="1">
      <c r="A19" s="159"/>
      <c r="B19" s="160"/>
      <c r="C19" s="160"/>
      <c r="D19" s="11" t="s">
        <v>68</v>
      </c>
      <c r="E19" s="11"/>
      <c r="F19" s="196"/>
      <c r="G19" s="196"/>
      <c r="H19" s="81">
        <v>28414</v>
      </c>
      <c r="I19" s="82">
        <v>29558.916666666668</v>
      </c>
      <c r="J19" s="243">
        <f>ROUND(I19/'第５表 '!I$28*100,1)</f>
        <v>8.8</v>
      </c>
      <c r="K19" s="123">
        <f t="shared" si="0"/>
        <v>4</v>
      </c>
      <c r="L19" s="87">
        <f>ROUND(((100+K19)/(100-2.3)-1)*100,1)</f>
        <v>6.4</v>
      </c>
      <c r="M19" s="85">
        <v>33390</v>
      </c>
      <c r="N19" s="82">
        <v>33243</v>
      </c>
      <c r="O19" s="243">
        <f>ROUND(N19/'第５表 '!N$28*100,1)</f>
        <v>10.4</v>
      </c>
      <c r="P19" s="125">
        <f t="shared" si="1"/>
        <v>-0.4</v>
      </c>
      <c r="Q19" s="301">
        <f>ROUND(((100+P19)/(100-2.5)-1)*100,1)</f>
        <v>2.2</v>
      </c>
      <c r="R19" s="88">
        <v>27684</v>
      </c>
      <c r="S19" s="82">
        <v>29651.583333333332</v>
      </c>
      <c r="T19" s="243">
        <f>ROUND(S19/'第５表 '!S$28*100,1)</f>
        <v>9.6</v>
      </c>
      <c r="U19" s="123">
        <f t="shared" si="2"/>
        <v>7.1</v>
      </c>
      <c r="V19" s="347">
        <f>ROUND(((100+U19)/(100-2.3)-1)*100,1)</f>
        <v>9.6</v>
      </c>
      <c r="W19" s="85">
        <v>31372</v>
      </c>
      <c r="X19" s="82">
        <v>31274</v>
      </c>
      <c r="Y19" s="244">
        <f>ROUND(X19/'第５表 '!X$28*100,1)</f>
        <v>10.7</v>
      </c>
      <c r="Z19" s="125">
        <f t="shared" si="3"/>
        <v>-0.3</v>
      </c>
      <c r="AA19" s="301">
        <f>ROUND(((100+Z19)/(100-2.5)-1)*100,1)</f>
        <v>2.3</v>
      </c>
      <c r="AB19" s="187"/>
      <c r="AC19" s="187"/>
    </row>
    <row r="20" spans="1:29" s="25" customFormat="1" ht="26.25" customHeight="1">
      <c r="A20" s="159"/>
      <c r="B20" s="160"/>
      <c r="C20" s="160"/>
      <c r="D20" s="11"/>
      <c r="E20" s="164"/>
      <c r="F20" s="200" t="s">
        <v>69</v>
      </c>
      <c r="G20" s="168"/>
      <c r="H20" s="99">
        <v>2421</v>
      </c>
      <c r="I20" s="100">
        <v>2609.6666666666665</v>
      </c>
      <c r="J20" s="238">
        <f>ROUND(I20/'第５表 '!I$28*100,1)</f>
        <v>0.8</v>
      </c>
      <c r="K20" s="112">
        <f t="shared" si="0"/>
        <v>7.8</v>
      </c>
      <c r="L20" s="105">
        <f>ROUND(((100+K20)/(100-18.1)-1)*100,1)</f>
        <v>31.6</v>
      </c>
      <c r="M20" s="103">
        <v>3901</v>
      </c>
      <c r="N20" s="110">
        <v>4450</v>
      </c>
      <c r="O20" s="238">
        <f>ROUND(N20/'第５表 '!N$28*100,1)</f>
        <v>1.4</v>
      </c>
      <c r="P20" s="115">
        <f t="shared" si="1"/>
        <v>14.1</v>
      </c>
      <c r="Q20" s="302">
        <f>ROUND(((100+P20)/(100-22.6)-1)*100,1)</f>
        <v>47.4</v>
      </c>
      <c r="R20" s="106">
        <v>2416</v>
      </c>
      <c r="S20" s="100">
        <v>3027</v>
      </c>
      <c r="T20" s="238">
        <f>ROUND(S20/'第５表 '!S$28*100,1)</f>
        <v>1</v>
      </c>
      <c r="U20" s="112">
        <f t="shared" si="2"/>
        <v>25.3</v>
      </c>
      <c r="V20" s="345">
        <f>ROUND(((100+U20)/(100-18.1)-1)*100,1)</f>
        <v>53</v>
      </c>
      <c r="W20" s="103">
        <v>3431</v>
      </c>
      <c r="X20" s="34">
        <v>3931</v>
      </c>
      <c r="Y20" s="239">
        <f>ROUND(X20/'第５表 '!X$28*100,1)</f>
        <v>1.3</v>
      </c>
      <c r="Z20" s="115">
        <f t="shared" si="3"/>
        <v>14.6</v>
      </c>
      <c r="AA20" s="302">
        <f>ROUND(((100+Z20)/(100-22.6)-1)*100,1)</f>
        <v>48.1</v>
      </c>
      <c r="AB20" s="187"/>
      <c r="AC20" s="187"/>
    </row>
    <row r="21" spans="1:29" s="25" customFormat="1" ht="26.25" customHeight="1">
      <c r="A21" s="159"/>
      <c r="B21" s="160"/>
      <c r="C21" s="160"/>
      <c r="D21" s="160"/>
      <c r="E21" s="167"/>
      <c r="F21" s="98" t="s">
        <v>70</v>
      </c>
      <c r="G21" s="6"/>
      <c r="H21" s="109">
        <v>6491</v>
      </c>
      <c r="I21" s="110">
        <v>7524.166666666667</v>
      </c>
      <c r="J21" s="241">
        <f>ROUND(I21/'第５表 '!I$28*100,1)</f>
        <v>2.3</v>
      </c>
      <c r="K21" s="112">
        <f t="shared" si="0"/>
        <v>15.9</v>
      </c>
      <c r="L21" s="115">
        <f>ROUND(((100+K21)/(100-4.3)-1)*100,1)</f>
        <v>21.1</v>
      </c>
      <c r="M21" s="113">
        <v>7030</v>
      </c>
      <c r="N21" s="110">
        <v>7053</v>
      </c>
      <c r="O21" s="241">
        <f>ROUND(N21/'第５表 '!N$28*100,1)</f>
        <v>2.2</v>
      </c>
      <c r="P21" s="115">
        <f t="shared" si="1"/>
        <v>0.3</v>
      </c>
      <c r="Q21" s="303">
        <f>ROUND(((100+P21)/(100-0.5)-1)*100,1)</f>
        <v>0.8</v>
      </c>
      <c r="R21" s="116">
        <v>5618</v>
      </c>
      <c r="S21" s="110">
        <v>6220.833333333333</v>
      </c>
      <c r="T21" s="241">
        <f>ROUND(S21/'第５表 '!S$28*100,1)</f>
        <v>2</v>
      </c>
      <c r="U21" s="112">
        <f t="shared" si="2"/>
        <v>10.7</v>
      </c>
      <c r="V21" s="346">
        <f>ROUND(((100+U21)/(100-4.3)-1)*100,1)</f>
        <v>15.7</v>
      </c>
      <c r="W21" s="113">
        <v>6464</v>
      </c>
      <c r="X21" s="245">
        <v>6451</v>
      </c>
      <c r="Y21" s="242">
        <f>ROUND(X21/'第５表 '!X$28*100,1)</f>
        <v>2.2</v>
      </c>
      <c r="Z21" s="115">
        <f t="shared" si="3"/>
        <v>-0.2</v>
      </c>
      <c r="AA21" s="303">
        <f>ROUND(((100+Z21)/(100-0.5)-1)*100,1)</f>
        <v>0.3</v>
      </c>
      <c r="AB21" s="187"/>
      <c r="AC21" s="187"/>
    </row>
    <row r="22" spans="1:28" s="25" customFormat="1" ht="26.25" customHeight="1">
      <c r="A22" s="159"/>
      <c r="B22" s="160"/>
      <c r="C22" s="160"/>
      <c r="D22" s="11"/>
      <c r="E22" s="167"/>
      <c r="F22" s="98" t="s">
        <v>71</v>
      </c>
      <c r="G22" s="246"/>
      <c r="H22" s="118">
        <v>3659</v>
      </c>
      <c r="I22" s="110">
        <v>4390.25</v>
      </c>
      <c r="J22" s="241">
        <f>ROUND(I22/'第５表 '!I$28*100,1)</f>
        <v>1.3</v>
      </c>
      <c r="K22" s="112">
        <f t="shared" si="0"/>
        <v>20</v>
      </c>
      <c r="L22" s="115">
        <f>ROUND(((100+K22)/(100+0.3)-1)*100,1)</f>
        <v>19.6</v>
      </c>
      <c r="M22" s="113">
        <v>4317</v>
      </c>
      <c r="N22" s="110">
        <v>4156</v>
      </c>
      <c r="O22" s="241">
        <f>ROUND(N22/'第５表 '!N$28*100,1)</f>
        <v>1.3</v>
      </c>
      <c r="P22" s="115">
        <f t="shared" si="1"/>
        <v>-3.7</v>
      </c>
      <c r="Q22" s="303">
        <f>ROUND(((100+P22)/(100+0.3)-1)*100,1)</f>
        <v>-4</v>
      </c>
      <c r="R22" s="116">
        <v>3685</v>
      </c>
      <c r="S22" s="110">
        <v>4239</v>
      </c>
      <c r="T22" s="241">
        <f>ROUND(S22/'第５表 '!S$28*100,1)</f>
        <v>1.4</v>
      </c>
      <c r="U22" s="112">
        <f t="shared" si="2"/>
        <v>15</v>
      </c>
      <c r="V22" s="346">
        <f>ROUND(((100+U22)/(100+0.3)-1)*100,1)</f>
        <v>14.7</v>
      </c>
      <c r="W22" s="113">
        <v>4232</v>
      </c>
      <c r="X22" s="34">
        <v>4166</v>
      </c>
      <c r="Y22" s="242">
        <f>ROUND(X22/'第５表 '!X$28*100,1)</f>
        <v>1.4</v>
      </c>
      <c r="Z22" s="115">
        <f t="shared" si="3"/>
        <v>-1.6</v>
      </c>
      <c r="AA22" s="303">
        <f>ROUND(((100+Z22)/(100+0.3)-1)*100,1)</f>
        <v>-1.9</v>
      </c>
      <c r="AB22" s="187"/>
    </row>
    <row r="23" spans="1:28" s="25" customFormat="1" ht="26.25" customHeight="1">
      <c r="A23" s="159"/>
      <c r="B23" s="160"/>
      <c r="C23" s="160"/>
      <c r="D23" s="176"/>
      <c r="E23" s="176"/>
      <c r="F23" s="177" t="s">
        <v>72</v>
      </c>
      <c r="G23" s="178"/>
      <c r="H23" s="29">
        <v>15844</v>
      </c>
      <c r="I23" s="66">
        <v>15034.666666666666</v>
      </c>
      <c r="J23" s="236">
        <f>ROUND(I23/'第５表 '!I$28*100,1)</f>
        <v>4.5</v>
      </c>
      <c r="K23" s="123">
        <f t="shared" si="0"/>
        <v>-5.1</v>
      </c>
      <c r="L23" s="125">
        <f>ROUND(((100+K23)/(100-0.3)-1)*100,1)</f>
        <v>-4.8</v>
      </c>
      <c r="M23" s="70">
        <v>18141</v>
      </c>
      <c r="N23" s="66">
        <v>17584</v>
      </c>
      <c r="O23" s="236">
        <f>ROUND(N23/'第５表 '!N$28*100,1)</f>
        <v>5.5</v>
      </c>
      <c r="P23" s="125">
        <f t="shared" si="1"/>
        <v>-3.1</v>
      </c>
      <c r="Q23" s="300">
        <f>ROUND(((100+P23)/(100-1.8)-1)*100,1)</f>
        <v>-1.3</v>
      </c>
      <c r="R23" s="32">
        <v>15966</v>
      </c>
      <c r="S23" s="66">
        <v>16165.083333333334</v>
      </c>
      <c r="T23" s="236">
        <f>ROUND(S23/'第５表 '!S$28*100,1)</f>
        <v>5.2</v>
      </c>
      <c r="U23" s="123">
        <f t="shared" si="2"/>
        <v>1.2</v>
      </c>
      <c r="V23" s="344">
        <f>ROUND(((100+U23)/(100-0.3)-1)*100,1)</f>
        <v>1.5</v>
      </c>
      <c r="W23" s="70">
        <v>17244</v>
      </c>
      <c r="X23" s="34">
        <v>16726</v>
      </c>
      <c r="Y23" s="237">
        <f>ROUND(X23/'第５表 '!X$28*100,1)</f>
        <v>5.7</v>
      </c>
      <c r="Z23" s="125">
        <f t="shared" si="3"/>
        <v>-3</v>
      </c>
      <c r="AA23" s="300">
        <f>ROUND(((100+Z23)/(100-1.8)-1)*100,1)</f>
        <v>-1.2</v>
      </c>
      <c r="AB23" s="187"/>
    </row>
    <row r="24" spans="1:28" s="25" customFormat="1" ht="26.25" customHeight="1">
      <c r="A24" s="159"/>
      <c r="B24" s="160"/>
      <c r="C24" s="160"/>
      <c r="D24" s="11" t="s">
        <v>73</v>
      </c>
      <c r="E24" s="11"/>
      <c r="F24" s="196"/>
      <c r="G24" s="247"/>
      <c r="H24" s="29">
        <v>94738</v>
      </c>
      <c r="I24" s="82">
        <v>96724.08333333333</v>
      </c>
      <c r="J24" s="243">
        <f>ROUND(I24/'第５表 '!I$28*100,1)</f>
        <v>28.9</v>
      </c>
      <c r="K24" s="123">
        <f t="shared" si="0"/>
        <v>2.1</v>
      </c>
      <c r="L24" s="312" t="s">
        <v>132</v>
      </c>
      <c r="M24" s="85">
        <v>75260</v>
      </c>
      <c r="N24" s="82">
        <v>72055</v>
      </c>
      <c r="O24" s="243">
        <f>ROUND(N24/'第５表 '!N$28*100,1)</f>
        <v>22.6</v>
      </c>
      <c r="P24" s="125">
        <f t="shared" si="1"/>
        <v>-4.3</v>
      </c>
      <c r="Q24" s="316" t="s">
        <v>132</v>
      </c>
      <c r="R24" s="32">
        <v>88768</v>
      </c>
      <c r="S24" s="66">
        <v>86639.83333333333</v>
      </c>
      <c r="T24" s="243">
        <f>ROUND(S24/'第５表 '!S$28*100,1)</f>
        <v>28</v>
      </c>
      <c r="U24" s="123">
        <f t="shared" si="2"/>
        <v>-2.4</v>
      </c>
      <c r="V24" s="348" t="s">
        <v>132</v>
      </c>
      <c r="W24" s="70">
        <v>69869</v>
      </c>
      <c r="X24" s="82">
        <v>67469</v>
      </c>
      <c r="Y24" s="244">
        <f>ROUND(X24/'第５表 '!X$28*100,1)</f>
        <v>23.1</v>
      </c>
      <c r="Z24" s="125">
        <f t="shared" si="3"/>
        <v>-3.4</v>
      </c>
      <c r="AA24" s="316" t="s">
        <v>132</v>
      </c>
      <c r="AB24" s="187"/>
    </row>
    <row r="25" spans="1:28" s="25" customFormat="1" ht="26.25" customHeight="1">
      <c r="A25" s="159"/>
      <c r="B25" s="160"/>
      <c r="C25" s="160"/>
      <c r="D25" s="11"/>
      <c r="E25" s="164"/>
      <c r="F25" s="200" t="s">
        <v>74</v>
      </c>
      <c r="G25" s="248"/>
      <c r="H25" s="118">
        <v>22140</v>
      </c>
      <c r="I25" s="110">
        <v>22198.166666666668</v>
      </c>
      <c r="J25" s="238">
        <f>ROUND(I25/'第５表 '!I$28*100,1)</f>
        <v>6.6</v>
      </c>
      <c r="K25" s="112">
        <f t="shared" si="0"/>
        <v>0.3</v>
      </c>
      <c r="L25" s="105">
        <f>ROUND(((100+K25)/(100-0.7)-1)*100,1)</f>
        <v>1</v>
      </c>
      <c r="M25" s="103">
        <v>23084</v>
      </c>
      <c r="N25" s="100">
        <v>23087</v>
      </c>
      <c r="O25" s="238">
        <f>ROUND(N25/'第５表 '!N$28*100,1)</f>
        <v>7.2</v>
      </c>
      <c r="P25" s="105">
        <f t="shared" si="1"/>
        <v>0</v>
      </c>
      <c r="Q25" s="302">
        <f>ROUND(((100+P25)/(100-0.4)-1)*100,1)</f>
        <v>0.4</v>
      </c>
      <c r="R25" s="116">
        <v>23805</v>
      </c>
      <c r="S25" s="110">
        <v>22826</v>
      </c>
      <c r="T25" s="238">
        <f>ROUND(S25/'第５表 '!S$28*100,1)</f>
        <v>7.4</v>
      </c>
      <c r="U25" s="112">
        <f t="shared" si="2"/>
        <v>-4.1</v>
      </c>
      <c r="V25" s="345">
        <f>ROUND(((100+U25)/(100-0.7)-1)*100,1)</f>
        <v>-3.4</v>
      </c>
      <c r="W25" s="103">
        <v>22511</v>
      </c>
      <c r="X25" s="34">
        <v>22622</v>
      </c>
      <c r="Y25" s="239">
        <f>ROUND(X25/'第５表 '!X$28*100,1)</f>
        <v>7.8</v>
      </c>
      <c r="Z25" s="105">
        <f t="shared" si="3"/>
        <v>0.5</v>
      </c>
      <c r="AA25" s="302">
        <f>ROUND(((100+Z25)/(100-0.4)-1)*100,1)</f>
        <v>0.9</v>
      </c>
      <c r="AB25" s="187"/>
    </row>
    <row r="26" spans="1:28" s="25" customFormat="1" ht="26.25" customHeight="1">
      <c r="A26" s="159"/>
      <c r="B26" s="160"/>
      <c r="C26" s="160"/>
      <c r="D26" s="11"/>
      <c r="E26" s="167"/>
      <c r="F26" s="249" t="s">
        <v>75</v>
      </c>
      <c r="G26" s="246"/>
      <c r="H26" s="118">
        <v>42620</v>
      </c>
      <c r="I26" s="110">
        <v>45725</v>
      </c>
      <c r="J26" s="241">
        <f>ROUND(I26/'第５表 '!I$28*100,1)</f>
        <v>13.7</v>
      </c>
      <c r="K26" s="112">
        <f t="shared" si="0"/>
        <v>7.3</v>
      </c>
      <c r="L26" s="310" t="s">
        <v>127</v>
      </c>
      <c r="M26" s="113">
        <v>20499</v>
      </c>
      <c r="N26" s="110">
        <v>18821</v>
      </c>
      <c r="O26" s="241">
        <f>ROUND(N26/'第５表 '!N$28*100,1)</f>
        <v>5.9</v>
      </c>
      <c r="P26" s="115">
        <f t="shared" si="1"/>
        <v>-8.2</v>
      </c>
      <c r="Q26" s="314" t="s">
        <v>127</v>
      </c>
      <c r="R26" s="116">
        <v>29785</v>
      </c>
      <c r="S26" s="110">
        <v>28482.833333333332</v>
      </c>
      <c r="T26" s="241">
        <f>ROUND(S26/'第５表 '!S$28*100,1)</f>
        <v>9.2</v>
      </c>
      <c r="U26" s="112">
        <f t="shared" si="2"/>
        <v>-4.4</v>
      </c>
      <c r="V26" s="349" t="s">
        <v>127</v>
      </c>
      <c r="W26" s="113">
        <v>14754</v>
      </c>
      <c r="X26" s="34">
        <v>13472</v>
      </c>
      <c r="Y26" s="242">
        <f>ROUND(X26/'第５表 '!X$28*100,1)</f>
        <v>4.6</v>
      </c>
      <c r="Z26" s="115">
        <f t="shared" si="3"/>
        <v>-8.7</v>
      </c>
      <c r="AA26" s="314" t="s">
        <v>127</v>
      </c>
      <c r="AB26" s="187"/>
    </row>
    <row r="27" spans="1:28" s="25" customFormat="1" ht="26.25" customHeight="1">
      <c r="A27" s="159"/>
      <c r="B27" s="160"/>
      <c r="C27" s="160"/>
      <c r="D27" s="11"/>
      <c r="E27" s="167"/>
      <c r="F27" s="98" t="s">
        <v>76</v>
      </c>
      <c r="G27" s="246"/>
      <c r="H27" s="118">
        <v>19594</v>
      </c>
      <c r="I27" s="110">
        <v>19209.5</v>
      </c>
      <c r="J27" s="241">
        <f>ROUND(I27/'第５表 '!I$28*100,1)</f>
        <v>5.7</v>
      </c>
      <c r="K27" s="112">
        <f t="shared" si="0"/>
        <v>-2</v>
      </c>
      <c r="L27" s="115">
        <f>ROUND(((100+K27)/(100-1.1)-1)*100,1)</f>
        <v>-0.9</v>
      </c>
      <c r="M27" s="113">
        <v>22642</v>
      </c>
      <c r="N27" s="34">
        <v>21937</v>
      </c>
      <c r="O27" s="241">
        <f>ROUND(N27/'第５表 '!N$28*100,1)</f>
        <v>6.9</v>
      </c>
      <c r="P27" s="115">
        <f t="shared" si="1"/>
        <v>-3.1</v>
      </c>
      <c r="Q27" s="303">
        <f>ROUND(((100+P27)/(100-1.5)-1)*100,1)</f>
        <v>-1.6</v>
      </c>
      <c r="R27" s="116">
        <v>27218</v>
      </c>
      <c r="S27" s="110">
        <v>28423.25</v>
      </c>
      <c r="T27" s="241">
        <f>ROUND(S27/'第５表 '!S$28*100,1)</f>
        <v>9.2</v>
      </c>
      <c r="U27" s="112">
        <f t="shared" si="2"/>
        <v>4.4</v>
      </c>
      <c r="V27" s="346">
        <f>ROUND(((100+U27)/(100-1.1)-1)*100,1)</f>
        <v>5.6</v>
      </c>
      <c r="W27" s="113">
        <v>25859</v>
      </c>
      <c r="X27" s="34">
        <v>25033</v>
      </c>
      <c r="Y27" s="242">
        <f>ROUND(X27/'第５表 '!X$28*100,1)</f>
        <v>8.6</v>
      </c>
      <c r="Z27" s="115">
        <f t="shared" si="3"/>
        <v>-3.2</v>
      </c>
      <c r="AA27" s="303">
        <f>ROUND(((100+Z27)/(100-1.5)-1)*100,1)</f>
        <v>-1.7</v>
      </c>
      <c r="AB27" s="187"/>
    </row>
    <row r="28" spans="1:28" s="25" customFormat="1" ht="26.25" customHeight="1">
      <c r="A28" s="159"/>
      <c r="B28" s="160"/>
      <c r="C28" s="160"/>
      <c r="D28" s="11"/>
      <c r="E28" s="176"/>
      <c r="F28" s="177" t="s">
        <v>77</v>
      </c>
      <c r="G28" s="178"/>
      <c r="H28" s="29">
        <v>10384</v>
      </c>
      <c r="I28" s="66">
        <v>9592.083333333334</v>
      </c>
      <c r="J28" s="236">
        <f>ROUND(I28/'第５表 '!I$28*100,1)</f>
        <v>2.9</v>
      </c>
      <c r="K28" s="123">
        <f t="shared" si="0"/>
        <v>-7.6</v>
      </c>
      <c r="L28" s="311" t="s">
        <v>127</v>
      </c>
      <c r="M28" s="70">
        <v>9035</v>
      </c>
      <c r="N28" s="66">
        <v>8211</v>
      </c>
      <c r="O28" s="236">
        <f>ROUND(N28/'第５表 '!N$28*100,1)</f>
        <v>2.6</v>
      </c>
      <c r="P28" s="125">
        <f t="shared" si="1"/>
        <v>-9.1</v>
      </c>
      <c r="Q28" s="315" t="s">
        <v>127</v>
      </c>
      <c r="R28" s="32">
        <v>7960</v>
      </c>
      <c r="S28" s="66">
        <v>6907.5</v>
      </c>
      <c r="T28" s="236">
        <f>ROUND(S28/'第５表 '!S$28*100,1)</f>
        <v>2.2</v>
      </c>
      <c r="U28" s="123">
        <f t="shared" si="2"/>
        <v>-13.2</v>
      </c>
      <c r="V28" s="350" t="s">
        <v>127</v>
      </c>
      <c r="W28" s="70">
        <v>6744</v>
      </c>
      <c r="X28" s="34">
        <v>6342</v>
      </c>
      <c r="Y28" s="237">
        <f>ROUND(X28/'第５表 '!X$28*100,1)</f>
        <v>2.2</v>
      </c>
      <c r="Z28" s="125">
        <f t="shared" si="3"/>
        <v>-6</v>
      </c>
      <c r="AA28" s="315" t="s">
        <v>127</v>
      </c>
      <c r="AB28" s="187"/>
    </row>
    <row r="29" spans="1:28" s="25" customFormat="1" ht="26.25" customHeight="1">
      <c r="A29" s="250"/>
      <c r="B29" s="174"/>
      <c r="C29" s="161" t="s">
        <v>78</v>
      </c>
      <c r="D29" s="162"/>
      <c r="E29" s="162"/>
      <c r="F29" s="36"/>
      <c r="G29" s="251"/>
      <c r="H29" s="118">
        <v>86917</v>
      </c>
      <c r="I29" s="110">
        <v>81464.25</v>
      </c>
      <c r="J29" s="252" t="s">
        <v>120</v>
      </c>
      <c r="K29" s="123">
        <f t="shared" si="0"/>
        <v>-6.3</v>
      </c>
      <c r="L29" s="312" t="s">
        <v>127</v>
      </c>
      <c r="M29" s="113">
        <v>91486</v>
      </c>
      <c r="N29" s="110">
        <v>90314</v>
      </c>
      <c r="O29" s="252" t="s">
        <v>120</v>
      </c>
      <c r="P29" s="125">
        <f t="shared" si="1"/>
        <v>-1.3</v>
      </c>
      <c r="Q29" s="316" t="s">
        <v>127</v>
      </c>
      <c r="R29" s="116"/>
      <c r="S29" s="253"/>
      <c r="T29" s="252"/>
      <c r="U29" s="123"/>
      <c r="V29" s="348" t="s">
        <v>127</v>
      </c>
      <c r="W29" s="109"/>
      <c r="X29" s="58"/>
      <c r="Y29" s="254"/>
      <c r="Z29" s="125"/>
      <c r="AA29" s="316" t="s">
        <v>127</v>
      </c>
      <c r="AB29" s="187"/>
    </row>
    <row r="30" spans="1:28" s="25" customFormat="1" ht="26.25" customHeight="1">
      <c r="A30" s="250"/>
      <c r="B30" s="161" t="s">
        <v>131</v>
      </c>
      <c r="C30" s="162"/>
      <c r="D30" s="162"/>
      <c r="E30" s="162"/>
      <c r="F30" s="36"/>
      <c r="G30" s="251"/>
      <c r="H30" s="90">
        <v>509321</v>
      </c>
      <c r="I30" s="82">
        <v>522599.6666666667</v>
      </c>
      <c r="J30" s="252" t="s">
        <v>121</v>
      </c>
      <c r="K30" s="123">
        <f t="shared" si="0"/>
        <v>2.6</v>
      </c>
      <c r="L30" s="312" t="s">
        <v>127</v>
      </c>
      <c r="M30" s="85">
        <v>525283</v>
      </c>
      <c r="N30" s="82">
        <v>514683</v>
      </c>
      <c r="O30" s="252" t="s">
        <v>121</v>
      </c>
      <c r="P30" s="125">
        <f t="shared" si="1"/>
        <v>-2</v>
      </c>
      <c r="Q30" s="316" t="s">
        <v>127</v>
      </c>
      <c r="R30" s="88"/>
      <c r="S30" s="11"/>
      <c r="T30" s="252"/>
      <c r="U30" s="123"/>
      <c r="V30" s="348" t="s">
        <v>127</v>
      </c>
      <c r="W30" s="353"/>
      <c r="X30" s="89"/>
      <c r="Y30" s="254"/>
      <c r="Z30" s="125"/>
      <c r="AA30" s="316" t="s">
        <v>127</v>
      </c>
      <c r="AB30" s="187"/>
    </row>
    <row r="31" spans="1:28" s="25" customFormat="1" ht="26.25" customHeight="1">
      <c r="A31" s="255"/>
      <c r="B31" s="256" t="s">
        <v>79</v>
      </c>
      <c r="C31" s="257"/>
      <c r="D31" s="257"/>
      <c r="E31" s="257"/>
      <c r="F31" s="258"/>
      <c r="G31" s="259"/>
      <c r="H31" s="149">
        <v>50478</v>
      </c>
      <c r="I31" s="260">
        <v>59071</v>
      </c>
      <c r="J31" s="261" t="s">
        <v>121</v>
      </c>
      <c r="K31" s="143">
        <f t="shared" si="0"/>
        <v>17</v>
      </c>
      <c r="L31" s="313" t="s">
        <v>127</v>
      </c>
      <c r="M31" s="262">
        <v>66166</v>
      </c>
      <c r="N31" s="263">
        <v>62436</v>
      </c>
      <c r="O31" s="261" t="s">
        <v>121</v>
      </c>
      <c r="P31" s="115">
        <f t="shared" si="1"/>
        <v>-5.6</v>
      </c>
      <c r="Q31" s="317" t="s">
        <v>127</v>
      </c>
      <c r="R31" s="147"/>
      <c r="S31" s="148"/>
      <c r="T31" s="261"/>
      <c r="U31" s="143"/>
      <c r="V31" s="351" t="s">
        <v>127</v>
      </c>
      <c r="W31" s="140"/>
      <c r="X31" s="264"/>
      <c r="Y31" s="265"/>
      <c r="Z31" s="115"/>
      <c r="AA31" s="317" t="s">
        <v>127</v>
      </c>
      <c r="AB31" s="187"/>
    </row>
    <row r="32" spans="1:28" s="25" customFormat="1" ht="26.25" customHeight="1">
      <c r="A32" s="266" t="s">
        <v>80</v>
      </c>
      <c r="B32" s="216"/>
      <c r="C32" s="216"/>
      <c r="D32" s="216"/>
      <c r="E32" s="216"/>
      <c r="F32" s="267"/>
      <c r="G32" s="268"/>
      <c r="H32" s="29">
        <v>6917</v>
      </c>
      <c r="I32" s="66">
        <v>5859.833333333333</v>
      </c>
      <c r="J32" s="269" t="s">
        <v>122</v>
      </c>
      <c r="K32" s="123">
        <f t="shared" si="0"/>
        <v>-15.3</v>
      </c>
      <c r="L32" s="311" t="s">
        <v>127</v>
      </c>
      <c r="M32" s="70">
        <v>8471</v>
      </c>
      <c r="N32" s="27">
        <v>7935</v>
      </c>
      <c r="O32" s="269" t="s">
        <v>122</v>
      </c>
      <c r="P32" s="72">
        <f t="shared" si="1"/>
        <v>-6.3</v>
      </c>
      <c r="Q32" s="315" t="s">
        <v>127</v>
      </c>
      <c r="R32" s="32">
        <v>8083</v>
      </c>
      <c r="S32" s="117">
        <v>7452</v>
      </c>
      <c r="T32" s="269" t="s">
        <v>122</v>
      </c>
      <c r="U32" s="123">
        <f>ROUND((S32-R32)/R32*100,1)</f>
        <v>-7.8</v>
      </c>
      <c r="V32" s="350" t="s">
        <v>127</v>
      </c>
      <c r="W32" s="70">
        <v>8884</v>
      </c>
      <c r="X32" s="34">
        <v>8537</v>
      </c>
      <c r="Y32" s="270" t="s">
        <v>122</v>
      </c>
      <c r="Z32" s="72">
        <f>ROUND((X32-W32)/W32*100,1)</f>
        <v>-3.9</v>
      </c>
      <c r="AA32" s="315" t="s">
        <v>127</v>
      </c>
      <c r="AB32" s="187"/>
    </row>
    <row r="33" spans="1:28" s="25" customFormat="1" ht="26.25" customHeight="1">
      <c r="A33" s="271" t="s">
        <v>81</v>
      </c>
      <c r="B33" s="162"/>
      <c r="C33" s="162"/>
      <c r="D33" s="162"/>
      <c r="E33" s="162"/>
      <c r="F33" s="36"/>
      <c r="G33" s="251"/>
      <c r="H33" s="90">
        <v>475806</v>
      </c>
      <c r="I33" s="82">
        <v>470391</v>
      </c>
      <c r="J33" s="252" t="s">
        <v>123</v>
      </c>
      <c r="K33" s="123">
        <f t="shared" si="0"/>
        <v>-1.1</v>
      </c>
      <c r="L33" s="115">
        <f>ROUND(((100+K33)/(100-1.1)-1)*100,1)</f>
        <v>0</v>
      </c>
      <c r="M33" s="85">
        <v>442749</v>
      </c>
      <c r="N33" s="110">
        <v>427912</v>
      </c>
      <c r="O33" s="252" t="s">
        <v>123</v>
      </c>
      <c r="P33" s="87">
        <f t="shared" si="1"/>
        <v>-3.4</v>
      </c>
      <c r="Q33" s="303">
        <f>ROUND(((100+P33)/(100-1.5)-1)*100,1)</f>
        <v>-1.9</v>
      </c>
      <c r="R33" s="88"/>
      <c r="S33" s="89"/>
      <c r="T33" s="252"/>
      <c r="U33" s="123"/>
      <c r="V33" s="346">
        <f>ROUND(((100+U33)/(100-1.1)-1)*100,1)</f>
        <v>1.1</v>
      </c>
      <c r="W33" s="81"/>
      <c r="X33" s="89"/>
      <c r="Y33" s="254"/>
      <c r="Z33" s="125"/>
      <c r="AA33" s="303">
        <f>ROUND(((100+Z33)/(100-1.5)-1)*100,1)</f>
        <v>1.5</v>
      </c>
      <c r="AB33" s="187"/>
    </row>
    <row r="34" spans="1:28" s="25" customFormat="1" ht="26.25" customHeight="1">
      <c r="A34" s="250" t="s">
        <v>82</v>
      </c>
      <c r="B34" s="11"/>
      <c r="C34" s="11"/>
      <c r="D34" s="11"/>
      <c r="E34" s="11"/>
      <c r="F34" s="196"/>
      <c r="G34" s="247"/>
      <c r="H34" s="90">
        <v>138093</v>
      </c>
      <c r="I34" s="82">
        <v>136270.75</v>
      </c>
      <c r="J34" s="252" t="s">
        <v>124</v>
      </c>
      <c r="K34" s="123">
        <f t="shared" si="0"/>
        <v>-1.3</v>
      </c>
      <c r="L34" s="312" t="s">
        <v>127</v>
      </c>
      <c r="M34" s="85">
        <v>117820</v>
      </c>
      <c r="N34" s="100">
        <v>108852</v>
      </c>
      <c r="O34" s="252" t="s">
        <v>124</v>
      </c>
      <c r="P34" s="125">
        <f t="shared" si="1"/>
        <v>-7.6</v>
      </c>
      <c r="Q34" s="316" t="s">
        <v>127</v>
      </c>
      <c r="R34" s="88"/>
      <c r="S34" s="89"/>
      <c r="T34" s="252"/>
      <c r="U34" s="123"/>
      <c r="V34" s="348" t="s">
        <v>127</v>
      </c>
      <c r="W34" s="81"/>
      <c r="X34" s="272"/>
      <c r="Y34" s="254"/>
      <c r="Z34" s="125"/>
      <c r="AA34" s="316" t="s">
        <v>127</v>
      </c>
      <c r="AB34" s="187"/>
    </row>
    <row r="35" spans="1:28" s="25" customFormat="1" ht="26.25" customHeight="1">
      <c r="A35" s="250"/>
      <c r="B35" s="164" t="s">
        <v>83</v>
      </c>
      <c r="C35" s="165"/>
      <c r="D35" s="165"/>
      <c r="E35" s="165"/>
      <c r="F35" s="48"/>
      <c r="G35" s="273"/>
      <c r="H35" s="90">
        <v>116397</v>
      </c>
      <c r="I35" s="82">
        <v>107131.33333333333</v>
      </c>
      <c r="J35" s="252" t="s">
        <v>119</v>
      </c>
      <c r="K35" s="123">
        <f t="shared" si="0"/>
        <v>-8</v>
      </c>
      <c r="L35" s="312" t="s">
        <v>127</v>
      </c>
      <c r="M35" s="85">
        <v>81213</v>
      </c>
      <c r="N35" s="82">
        <v>69519</v>
      </c>
      <c r="O35" s="252" t="s">
        <v>119</v>
      </c>
      <c r="P35" s="125">
        <f t="shared" si="1"/>
        <v>-14.4</v>
      </c>
      <c r="Q35" s="316" t="s">
        <v>127</v>
      </c>
      <c r="R35" s="88"/>
      <c r="S35" s="89"/>
      <c r="T35" s="252"/>
      <c r="U35" s="123"/>
      <c r="V35" s="348" t="s">
        <v>127</v>
      </c>
      <c r="W35" s="81"/>
      <c r="X35" s="272"/>
      <c r="Y35" s="254"/>
      <c r="Z35" s="125"/>
      <c r="AA35" s="316" t="s">
        <v>127</v>
      </c>
      <c r="AB35" s="187"/>
    </row>
    <row r="36" spans="1:28" s="25" customFormat="1" ht="26.25" customHeight="1">
      <c r="A36" s="271" t="s">
        <v>84</v>
      </c>
      <c r="B36" s="162"/>
      <c r="C36" s="162"/>
      <c r="D36" s="162"/>
      <c r="E36" s="162"/>
      <c r="F36" s="36"/>
      <c r="G36" s="251"/>
      <c r="H36" s="274">
        <v>71</v>
      </c>
      <c r="I36" s="275">
        <v>71</v>
      </c>
      <c r="J36" s="252" t="s">
        <v>125</v>
      </c>
      <c r="K36" s="276" t="s">
        <v>125</v>
      </c>
      <c r="L36" s="252" t="s">
        <v>127</v>
      </c>
      <c r="M36" s="277">
        <v>73.4</v>
      </c>
      <c r="N36" s="278">
        <v>74.6</v>
      </c>
      <c r="O36" s="252" t="s">
        <v>125</v>
      </c>
      <c r="P36" s="252" t="s">
        <v>125</v>
      </c>
      <c r="Q36" s="324" t="s">
        <v>127</v>
      </c>
      <c r="R36" s="279"/>
      <c r="S36" s="280"/>
      <c r="T36" s="252"/>
      <c r="U36" s="276"/>
      <c r="V36" s="254" t="s">
        <v>127</v>
      </c>
      <c r="W36" s="354"/>
      <c r="X36" s="253"/>
      <c r="Y36" s="281"/>
      <c r="Z36" s="252"/>
      <c r="AA36" s="324" t="s">
        <v>127</v>
      </c>
      <c r="AB36" s="187"/>
    </row>
    <row r="37" spans="1:28" s="25" customFormat="1" ht="26.25" customHeight="1" thickBot="1">
      <c r="A37" s="282" t="s">
        <v>85</v>
      </c>
      <c r="B37" s="283"/>
      <c r="C37" s="283"/>
      <c r="D37" s="283"/>
      <c r="E37" s="283"/>
      <c r="F37" s="284"/>
      <c r="G37" s="285"/>
      <c r="H37" s="286">
        <v>21.6</v>
      </c>
      <c r="I37" s="287">
        <v>22.062515915552357</v>
      </c>
      <c r="J37" s="288" t="s">
        <v>126</v>
      </c>
      <c r="K37" s="289" t="s">
        <v>126</v>
      </c>
      <c r="L37" s="292" t="s">
        <v>127</v>
      </c>
      <c r="M37" s="290">
        <v>21.9</v>
      </c>
      <c r="N37" s="291">
        <v>22</v>
      </c>
      <c r="O37" s="292" t="s">
        <v>126</v>
      </c>
      <c r="P37" s="292" t="s">
        <v>126</v>
      </c>
      <c r="Q37" s="325" t="s">
        <v>127</v>
      </c>
      <c r="R37" s="293">
        <v>22.7</v>
      </c>
      <c r="S37" s="294">
        <v>23.7</v>
      </c>
      <c r="T37" s="289" t="s">
        <v>126</v>
      </c>
      <c r="U37" s="295" t="s">
        <v>126</v>
      </c>
      <c r="V37" s="352" t="s">
        <v>127</v>
      </c>
      <c r="W37" s="290">
        <v>23.2</v>
      </c>
      <c r="X37" s="296">
        <v>23.4</v>
      </c>
      <c r="Y37" s="289" t="s">
        <v>126</v>
      </c>
      <c r="Z37" s="289" t="s">
        <v>126</v>
      </c>
      <c r="AA37" s="325" t="s">
        <v>127</v>
      </c>
      <c r="AB37" s="187"/>
    </row>
    <row r="38" spans="20:27" ht="26.25" customHeight="1">
      <c r="T38" s="220"/>
      <c r="V38" s="191"/>
      <c r="AA38" s="297" t="s">
        <v>133</v>
      </c>
    </row>
    <row r="39" spans="20:22" ht="26.25" customHeight="1">
      <c r="T39" s="220"/>
      <c r="V39" s="191"/>
    </row>
    <row r="40" spans="20:22" ht="26.25" customHeight="1">
      <c r="T40" s="220"/>
      <c r="V40" s="191"/>
    </row>
    <row r="41" spans="6:22" ht="26.25" customHeight="1">
      <c r="F41" s="298"/>
      <c r="T41" s="220"/>
      <c r="V41" s="191"/>
    </row>
    <row r="42" spans="20:27" ht="26.25" customHeight="1">
      <c r="T42" s="220"/>
      <c r="V42" s="191"/>
      <c r="AA42" s="299"/>
    </row>
    <row r="43" spans="20:22" ht="26.25" customHeight="1">
      <c r="T43" s="220"/>
      <c r="V43" s="191"/>
    </row>
    <row r="44" spans="20:22" ht="26.25" customHeight="1">
      <c r="T44" s="220"/>
      <c r="V44" s="191"/>
    </row>
    <row r="45" spans="20:22" ht="26.25" customHeight="1">
      <c r="T45" s="220"/>
      <c r="V45" s="191"/>
    </row>
    <row r="46" spans="20:22" ht="26.25" customHeight="1">
      <c r="T46" s="220"/>
      <c r="V46" s="191"/>
    </row>
    <row r="47" spans="20:22" ht="26.25" customHeight="1">
      <c r="T47" s="220"/>
      <c r="V47" s="191"/>
    </row>
    <row r="48" spans="20:22" ht="23.25" customHeight="1">
      <c r="T48" s="220"/>
      <c r="V48" s="191"/>
    </row>
    <row r="49" spans="8:29" ht="23.25" customHeight="1">
      <c r="H49" s="222"/>
      <c r="I49" s="222"/>
      <c r="J49" s="223"/>
      <c r="K49" s="223"/>
      <c r="L49" s="223"/>
      <c r="M49" s="224"/>
      <c r="N49" s="223"/>
      <c r="O49" s="223"/>
      <c r="P49" s="223"/>
      <c r="Q49" s="223"/>
      <c r="R49" s="223"/>
      <c r="S49" s="223"/>
      <c r="T49" s="223"/>
      <c r="U49" s="223"/>
      <c r="V49" s="223"/>
      <c r="W49" s="225"/>
      <c r="X49" s="223"/>
      <c r="Y49" s="223"/>
      <c r="Z49" s="223"/>
      <c r="AA49" s="223"/>
      <c r="AB49" s="223"/>
      <c r="AC49" s="223"/>
    </row>
    <row r="50" spans="8:25" ht="23.25" customHeight="1">
      <c r="H50" s="222"/>
      <c r="I50" s="222"/>
      <c r="J50" s="223"/>
      <c r="K50" s="223"/>
      <c r="L50" s="223"/>
      <c r="M50" s="218"/>
      <c r="N50" s="191"/>
      <c r="V50" s="191"/>
      <c r="W50" s="226"/>
      <c r="Y50" s="220"/>
    </row>
    <row r="51" spans="8:25" ht="23.25" customHeight="1">
      <c r="H51" s="223"/>
      <c r="I51" s="222"/>
      <c r="J51" s="223"/>
      <c r="K51" s="223"/>
      <c r="L51" s="223"/>
      <c r="M51" s="218"/>
      <c r="N51" s="191"/>
      <c r="V51" s="191"/>
      <c r="Y51" s="220"/>
    </row>
    <row r="52" spans="8:25" ht="23.25" customHeight="1">
      <c r="H52" s="191"/>
      <c r="I52" s="219"/>
      <c r="L52" s="220"/>
      <c r="M52" s="218"/>
      <c r="N52" s="191"/>
      <c r="V52" s="191"/>
      <c r="Y52" s="220"/>
    </row>
    <row r="53" spans="8:25" ht="23.25" customHeight="1">
      <c r="H53" s="191"/>
      <c r="I53" s="219"/>
      <c r="L53" s="220"/>
      <c r="M53" s="218"/>
      <c r="N53" s="191"/>
      <c r="V53" s="191"/>
      <c r="Y53" s="220"/>
    </row>
    <row r="54" spans="8:25" ht="23.25" customHeight="1">
      <c r="H54" s="191"/>
      <c r="I54" s="219"/>
      <c r="L54" s="220"/>
      <c r="M54" s="218"/>
      <c r="N54" s="191"/>
      <c r="V54" s="191"/>
      <c r="Y54" s="220"/>
    </row>
    <row r="55" spans="13:25" ht="13.5">
      <c r="M55" s="191"/>
      <c r="Q55" s="220"/>
      <c r="V55" s="191"/>
      <c r="Y55" s="220"/>
    </row>
    <row r="56" spans="13:25" ht="13.5">
      <c r="M56" s="191"/>
      <c r="V56" s="191"/>
      <c r="Y56" s="220"/>
    </row>
    <row r="57" spans="13:25" ht="13.5">
      <c r="M57" s="191"/>
      <c r="V57" s="191"/>
      <c r="Y57" s="220"/>
    </row>
    <row r="58" spans="13:25" ht="13.5">
      <c r="M58" s="191"/>
      <c r="V58" s="191"/>
      <c r="Y58" s="220"/>
    </row>
    <row r="59" spans="13:25" ht="13.5">
      <c r="M59" s="191"/>
      <c r="V59" s="191"/>
      <c r="Y59" s="220"/>
    </row>
    <row r="60" spans="13:27" ht="13.5">
      <c r="M60" s="191"/>
      <c r="V60" s="191"/>
      <c r="AA60" s="220"/>
    </row>
    <row r="61" spans="13:27" ht="13.5">
      <c r="M61" s="191"/>
      <c r="V61" s="191"/>
      <c r="AA61" s="220"/>
    </row>
    <row r="62" spans="22:27" ht="13.5">
      <c r="V62" s="191"/>
      <c r="AA62" s="220"/>
    </row>
    <row r="63" spans="22:27" ht="13.5">
      <c r="V63" s="191"/>
      <c r="AA63" s="220"/>
    </row>
    <row r="64" spans="22:27" ht="13.5">
      <c r="V64" s="191"/>
      <c r="AA64" s="220"/>
    </row>
    <row r="65" spans="8:27" ht="13.5">
      <c r="H65" s="227"/>
      <c r="V65" s="191"/>
      <c r="AA65" s="220"/>
    </row>
    <row r="66" spans="8:27" ht="13.5">
      <c r="H66" s="227"/>
      <c r="N66" s="228"/>
      <c r="V66" s="191"/>
      <c r="AA66" s="220"/>
    </row>
    <row r="67" spans="8:27" ht="13.5">
      <c r="H67" s="227"/>
      <c r="N67" s="228"/>
      <c r="V67" s="191"/>
      <c r="AA67" s="220"/>
    </row>
    <row r="68" spans="8:22" ht="13.5">
      <c r="H68" s="227"/>
      <c r="N68" s="228"/>
      <c r="T68" s="220"/>
      <c r="V68" s="191"/>
    </row>
    <row r="69" spans="8:22" ht="13.5">
      <c r="H69" s="227"/>
      <c r="N69" s="228"/>
      <c r="T69" s="220"/>
      <c r="V69" s="191"/>
    </row>
    <row r="70" spans="8:23" ht="13.5">
      <c r="H70" s="227"/>
      <c r="N70" s="228"/>
      <c r="T70" s="220"/>
      <c r="V70" s="191"/>
      <c r="W70" s="227"/>
    </row>
    <row r="71" spans="8:23" ht="13.5">
      <c r="H71" s="227"/>
      <c r="N71" s="228"/>
      <c r="T71" s="220"/>
      <c r="V71" s="191"/>
      <c r="W71" s="227"/>
    </row>
    <row r="72" spans="8:23" ht="13.5">
      <c r="H72" s="227"/>
      <c r="N72" s="228"/>
      <c r="T72" s="220"/>
      <c r="V72" s="191"/>
      <c r="W72" s="227"/>
    </row>
    <row r="73" spans="8:23" ht="13.5">
      <c r="H73" s="227"/>
      <c r="N73" s="228"/>
      <c r="T73" s="220"/>
      <c r="V73" s="191"/>
      <c r="W73" s="227"/>
    </row>
    <row r="74" spans="8:23" ht="13.5">
      <c r="H74" s="227"/>
      <c r="N74" s="228"/>
      <c r="T74" s="220"/>
      <c r="V74" s="191"/>
      <c r="W74" s="227"/>
    </row>
    <row r="75" spans="8:23" ht="13.5">
      <c r="H75" s="227"/>
      <c r="N75" s="228"/>
      <c r="T75" s="220"/>
      <c r="V75" s="191"/>
      <c r="W75" s="227"/>
    </row>
    <row r="76" spans="8:23" ht="13.5">
      <c r="H76" s="227"/>
      <c r="T76" s="220"/>
      <c r="V76" s="191"/>
      <c r="W76" s="227"/>
    </row>
    <row r="77" spans="8:23" ht="13.5">
      <c r="H77" s="227"/>
      <c r="T77" s="220"/>
      <c r="V77" s="191"/>
      <c r="W77" s="227"/>
    </row>
    <row r="78" spans="8:23" ht="13.5">
      <c r="H78" s="227"/>
      <c r="T78" s="220"/>
      <c r="V78" s="191"/>
      <c r="W78" s="227"/>
    </row>
    <row r="79" spans="8:23" ht="13.5">
      <c r="H79" s="227"/>
      <c r="T79" s="220"/>
      <c r="V79" s="191"/>
      <c r="W79" s="227"/>
    </row>
    <row r="80" spans="8:23" ht="13.5">
      <c r="H80" s="227"/>
      <c r="T80" s="220"/>
      <c r="V80" s="191"/>
      <c r="W80" s="227"/>
    </row>
    <row r="81" spans="8:23" ht="13.5">
      <c r="H81" s="227"/>
      <c r="T81" s="220"/>
      <c r="V81" s="191"/>
      <c r="W81" s="227"/>
    </row>
    <row r="82" spans="8:23" ht="13.5">
      <c r="H82" s="227"/>
      <c r="T82" s="220"/>
      <c r="V82" s="191"/>
      <c r="W82" s="227"/>
    </row>
    <row r="83" spans="8:23" ht="13.5">
      <c r="H83" s="227"/>
      <c r="T83" s="220"/>
      <c r="V83" s="191"/>
      <c r="W83" s="227"/>
    </row>
    <row r="84" spans="8:23" ht="13.5">
      <c r="H84" s="227"/>
      <c r="T84" s="220"/>
      <c r="V84" s="191"/>
      <c r="W84" s="227"/>
    </row>
    <row r="85" spans="20:23" ht="13.5">
      <c r="T85" s="220"/>
      <c r="V85" s="191"/>
      <c r="W85" s="227"/>
    </row>
    <row r="86" spans="20:23" ht="13.5">
      <c r="T86" s="220"/>
      <c r="V86" s="191"/>
      <c r="W86" s="227"/>
    </row>
    <row r="87" spans="20:23" ht="13.5">
      <c r="T87" s="220"/>
      <c r="V87" s="191"/>
      <c r="W87" s="227"/>
    </row>
    <row r="88" spans="20:23" ht="13.5">
      <c r="T88" s="220"/>
      <c r="V88" s="191"/>
      <c r="W88" s="227"/>
    </row>
    <row r="89" spans="20:22" ht="13.5">
      <c r="T89" s="220"/>
      <c r="V89" s="191"/>
    </row>
    <row r="90" spans="20:22" ht="13.5">
      <c r="T90" s="220"/>
      <c r="V90" s="191"/>
    </row>
    <row r="91" spans="20:22" ht="13.5">
      <c r="T91" s="220"/>
      <c r="V91" s="191"/>
    </row>
    <row r="92" spans="20:22" ht="13.5">
      <c r="T92" s="220"/>
      <c r="V92" s="191"/>
    </row>
    <row r="93" spans="20:22" ht="13.5">
      <c r="T93" s="220"/>
      <c r="V93" s="191"/>
    </row>
    <row r="94" spans="20:22" ht="13.5">
      <c r="T94" s="220"/>
      <c r="V94" s="191"/>
    </row>
    <row r="95" spans="20:22" ht="13.5">
      <c r="T95" s="220"/>
      <c r="V95" s="191"/>
    </row>
    <row r="96" spans="20:22" ht="13.5">
      <c r="T96" s="220"/>
      <c r="V96" s="191"/>
    </row>
    <row r="97" spans="20:22" ht="13.5">
      <c r="T97" s="220"/>
      <c r="V97" s="191"/>
    </row>
    <row r="98" spans="20:22" ht="13.5">
      <c r="T98" s="220"/>
      <c r="V98" s="191"/>
    </row>
    <row r="99" spans="20:22" ht="13.5">
      <c r="T99" s="220"/>
      <c r="V99" s="191"/>
    </row>
    <row r="100" spans="20:22" ht="13.5">
      <c r="T100" s="220"/>
      <c r="V100" s="191"/>
    </row>
    <row r="101" spans="20:22" ht="13.5">
      <c r="T101" s="220"/>
      <c r="V101" s="191"/>
    </row>
    <row r="102" spans="20:22" ht="13.5">
      <c r="T102" s="220"/>
      <c r="V102" s="191"/>
    </row>
    <row r="103" spans="20:22" ht="13.5">
      <c r="T103" s="220"/>
      <c r="V103" s="191"/>
    </row>
    <row r="104" spans="20:22" ht="13.5">
      <c r="T104" s="220"/>
      <c r="V104" s="191"/>
    </row>
    <row r="105" spans="20:22" ht="13.5">
      <c r="T105" s="220"/>
      <c r="V105" s="191"/>
    </row>
    <row r="106" spans="20:22" ht="13.5">
      <c r="T106" s="220"/>
      <c r="V106" s="191"/>
    </row>
    <row r="107" spans="20:22" ht="13.5">
      <c r="T107" s="220"/>
      <c r="V107" s="191"/>
    </row>
    <row r="108" spans="20:22" ht="13.5">
      <c r="T108" s="220"/>
      <c r="V108" s="191"/>
    </row>
    <row r="109" spans="20:22" ht="13.5">
      <c r="T109" s="220"/>
      <c r="V109" s="191"/>
    </row>
    <row r="110" spans="20:22" ht="13.5">
      <c r="T110" s="220"/>
      <c r="V110" s="191"/>
    </row>
  </sheetData>
  <mergeCells count="27">
    <mergeCell ref="A1:AA1"/>
    <mergeCell ref="Z6:AA6"/>
    <mergeCell ref="Y6:Y7"/>
    <mergeCell ref="U6:V6"/>
    <mergeCell ref="R7:R8"/>
    <mergeCell ref="W7:W8"/>
    <mergeCell ref="S7:S8"/>
    <mergeCell ref="X7:X8"/>
    <mergeCell ref="A4:G8"/>
    <mergeCell ref="P6:Q6"/>
    <mergeCell ref="O6:O7"/>
    <mergeCell ref="H7:H8"/>
    <mergeCell ref="I7:I8"/>
    <mergeCell ref="N7:N8"/>
    <mergeCell ref="M6:N6"/>
    <mergeCell ref="M7:M8"/>
    <mergeCell ref="J6:J7"/>
    <mergeCell ref="R4:AA4"/>
    <mergeCell ref="W6:X6"/>
    <mergeCell ref="H4:Q4"/>
    <mergeCell ref="H5:L5"/>
    <mergeCell ref="K6:L6"/>
    <mergeCell ref="W5:AA5"/>
    <mergeCell ref="R6:S6"/>
    <mergeCell ref="R5:V5"/>
    <mergeCell ref="T6:T7"/>
    <mergeCell ref="H6:I6"/>
  </mergeCells>
  <printOptions horizontalCentered="1"/>
  <pageMargins left="0.5905511811023623" right="0.31496062992125984" top="0.984251968503937" bottom="0.7874015748031497" header="0.5118110236220472" footer="0.5118110236220472"/>
  <pageSetup firstPageNumber="29" useFirstPageNumber="1" horizontalDpi="600" verticalDpi="600" orientation="portrait" paperSize="9" scale="80" r:id="rId1"/>
  <headerFooter alignWithMargins="0">
    <oddFooter>&amp;C&amp;"ＭＳ 明朝,標準"- &amp;P+4 -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2010-03-18T01:11:20Z</cp:lastPrinted>
  <dcterms:created xsi:type="dcterms:W3CDTF">2009-02-16T04:56:33Z</dcterms:created>
  <dcterms:modified xsi:type="dcterms:W3CDTF">2010-03-18T05:29:30Z</dcterms:modified>
  <cp:category/>
  <cp:version/>
  <cp:contentType/>
  <cp:contentStatus/>
</cp:coreProperties>
</file>